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f005\Downloads\"/>
    </mc:Choice>
  </mc:AlternateContent>
  <xr:revisionPtr revIDLastSave="0" documentId="8_{7FC0A5D0-BD8E-4BE6-BE69-69877DB77F7C}" xr6:coauthVersionLast="47" xr6:coauthVersionMax="47" xr10:uidLastSave="{00000000-0000-0000-0000-000000000000}"/>
  <bookViews>
    <workbookView xWindow="28680" yWindow="-120" windowWidth="29040" windowHeight="17520" xr2:uid="{00000000-000D-0000-FFFF-FFFF00000000}"/>
  </bookViews>
  <sheets>
    <sheet name="Overview &amp; Instructions" sheetId="1" r:id="rId1"/>
    <sheet name="CERM Calculator" sheetId="2" r:id="rId2"/>
    <sheet name="Contracts &amp; Master Data" sheetId="3" state="hidden" r:id="rId3"/>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2556068</definedName>
    <definedName name="_IDVTrackerMajorVersion72_H" hidden="1">1</definedName>
    <definedName name="_IDVTrackerMinorVersion72_H" hidden="1">0</definedName>
    <definedName name="_IDVTrackerVersion72_H"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2" l="1"/>
  <c r="D54" i="2"/>
  <c r="C54" i="2"/>
  <c r="F53" i="2"/>
  <c r="D53" i="2"/>
  <c r="C53" i="2"/>
  <c r="F52" i="2"/>
  <c r="D52" i="2"/>
  <c r="C52" i="2"/>
  <c r="F51" i="2"/>
  <c r="D51" i="2"/>
  <c r="O51" i="2" s="1"/>
  <c r="C51" i="2"/>
  <c r="F50" i="2"/>
  <c r="D50" i="2"/>
  <c r="O50" i="2" s="1"/>
  <c r="C50" i="2"/>
  <c r="F49" i="2"/>
  <c r="D49" i="2"/>
  <c r="C49" i="2"/>
  <c r="F48" i="2"/>
  <c r="D48" i="2"/>
  <c r="C48" i="2"/>
  <c r="F47" i="2"/>
  <c r="D47" i="2"/>
  <c r="C47" i="2"/>
  <c r="F46" i="2"/>
  <c r="D46" i="2"/>
  <c r="O46" i="2" s="1"/>
  <c r="C46" i="2"/>
  <c r="F45" i="2"/>
  <c r="D45" i="2"/>
  <c r="C45" i="2"/>
  <c r="I54" i="2"/>
  <c r="H54" i="2"/>
  <c r="K54" i="2" s="1"/>
  <c r="O54" i="2"/>
  <c r="P20" i="2"/>
  <c r="Q20" i="2"/>
  <c r="R20" i="2"/>
  <c r="P21" i="2"/>
  <c r="Q21" i="2"/>
  <c r="R21" i="2"/>
  <c r="P22" i="2"/>
  <c r="Q22" i="2"/>
  <c r="R22" i="2"/>
  <c r="P23" i="2"/>
  <c r="Q23" i="2"/>
  <c r="R23" i="2"/>
  <c r="P24" i="2"/>
  <c r="Q24" i="2"/>
  <c r="R24" i="2"/>
  <c r="P25" i="2"/>
  <c r="Q25" i="2"/>
  <c r="R25" i="2"/>
  <c r="P26" i="2"/>
  <c r="Q26" i="2"/>
  <c r="R26" i="2"/>
  <c r="P27" i="2"/>
  <c r="Q27" i="2"/>
  <c r="R27" i="2"/>
  <c r="P28" i="2"/>
  <c r="Q28" i="2"/>
  <c r="R28" i="2"/>
  <c r="J54" i="2" s="1"/>
  <c r="P29" i="2"/>
  <c r="Q29" i="2"/>
  <c r="R29" i="2"/>
  <c r="P30" i="2"/>
  <c r="Q30" i="2"/>
  <c r="R30" i="2"/>
  <c r="P31" i="2"/>
  <c r="Q31" i="2"/>
  <c r="R31" i="2"/>
  <c r="P32" i="2"/>
  <c r="Q32" i="2"/>
  <c r="R32" i="2"/>
  <c r="P33" i="2"/>
  <c r="Q33" i="2"/>
  <c r="R33" i="2"/>
  <c r="P34" i="2"/>
  <c r="Q34" i="2"/>
  <c r="R34" i="2"/>
  <c r="P35" i="2"/>
  <c r="Q35" i="2"/>
  <c r="R35" i="2"/>
  <c r="P36" i="2"/>
  <c r="Q36" i="2"/>
  <c r="R36" i="2"/>
  <c r="P37" i="2"/>
  <c r="Q37" i="2"/>
  <c r="R37" i="2"/>
  <c r="P38" i="2"/>
  <c r="Q38" i="2"/>
  <c r="R38" i="2"/>
  <c r="R19" i="2"/>
  <c r="Q19" i="2"/>
  <c r="P19" i="2"/>
  <c r="O20" i="2"/>
  <c r="O21" i="2"/>
  <c r="O22" i="2"/>
  <c r="O23" i="2"/>
  <c r="O24" i="2"/>
  <c r="O25" i="2"/>
  <c r="O26" i="2"/>
  <c r="O27" i="2"/>
  <c r="O28" i="2"/>
  <c r="O29" i="2"/>
  <c r="O30" i="2"/>
  <c r="O31" i="2"/>
  <c r="O32" i="2"/>
  <c r="O33" i="2"/>
  <c r="O34" i="2"/>
  <c r="O35" i="2"/>
  <c r="O36" i="2"/>
  <c r="O37" i="2"/>
  <c r="O38" i="2"/>
  <c r="O19" i="2"/>
  <c r="I20" i="2"/>
  <c r="J20" i="2" s="1"/>
  <c r="I21" i="2"/>
  <c r="J21" i="2" s="1"/>
  <c r="I22" i="2"/>
  <c r="J22" i="2"/>
  <c r="I23" i="2"/>
  <c r="J23" i="2"/>
  <c r="I24" i="2"/>
  <c r="J24" i="2" s="1"/>
  <c r="I25" i="2"/>
  <c r="J25" i="2"/>
  <c r="I26" i="2"/>
  <c r="J26" i="2"/>
  <c r="I27" i="2"/>
  <c r="J27" i="2"/>
  <c r="I28" i="2"/>
  <c r="J28" i="2" s="1"/>
  <c r="I29" i="2"/>
  <c r="J29" i="2"/>
  <c r="I30" i="2"/>
  <c r="J30" i="2"/>
  <c r="I31" i="2"/>
  <c r="J31" i="2"/>
  <c r="I32" i="2"/>
  <c r="J32" i="2"/>
  <c r="I33" i="2"/>
  <c r="J33" i="2"/>
  <c r="I34" i="2"/>
  <c r="J34" i="2"/>
  <c r="I35" i="2"/>
  <c r="J35" i="2"/>
  <c r="I36" i="2"/>
  <c r="J36" i="2"/>
  <c r="I37" i="2"/>
  <c r="J37" i="2"/>
  <c r="I38" i="2"/>
  <c r="J38" i="2"/>
  <c r="J19" i="2"/>
  <c r="I19" i="2"/>
  <c r="D20" i="2"/>
  <c r="E20" i="2"/>
  <c r="F20" i="2"/>
  <c r="D21" i="2"/>
  <c r="E21" i="2"/>
  <c r="F21" i="2"/>
  <c r="D22" i="2"/>
  <c r="E22" i="2"/>
  <c r="F22" i="2"/>
  <c r="D23" i="2"/>
  <c r="E23" i="2"/>
  <c r="F23" i="2"/>
  <c r="D24" i="2"/>
  <c r="E24" i="2"/>
  <c r="F24" i="2"/>
  <c r="D25" i="2"/>
  <c r="E25" i="2"/>
  <c r="F25" i="2"/>
  <c r="D26" i="2"/>
  <c r="E26" i="2"/>
  <c r="F26" i="2"/>
  <c r="D27" i="2"/>
  <c r="E27" i="2"/>
  <c r="F27" i="2"/>
  <c r="D28" i="2"/>
  <c r="E28" i="2"/>
  <c r="F28" i="2"/>
  <c r="D29" i="2"/>
  <c r="E29" i="2"/>
  <c r="F29" i="2"/>
  <c r="D30" i="2"/>
  <c r="E30" i="2"/>
  <c r="F30" i="2"/>
  <c r="D31" i="2"/>
  <c r="E31" i="2"/>
  <c r="F31" i="2"/>
  <c r="D32" i="2"/>
  <c r="E32" i="2"/>
  <c r="F32" i="2"/>
  <c r="D33" i="2"/>
  <c r="E33" i="2"/>
  <c r="F33" i="2"/>
  <c r="D34" i="2"/>
  <c r="E34" i="2"/>
  <c r="F34" i="2"/>
  <c r="D35" i="2"/>
  <c r="E35" i="2"/>
  <c r="F35" i="2"/>
  <c r="D36" i="2"/>
  <c r="E36" i="2"/>
  <c r="F36" i="2"/>
  <c r="D37" i="2"/>
  <c r="E37" i="2"/>
  <c r="F37" i="2"/>
  <c r="D38" i="2"/>
  <c r="E38" i="2"/>
  <c r="F38" i="2"/>
  <c r="F19" i="2"/>
  <c r="E19" i="2"/>
  <c r="D19" i="2"/>
  <c r="O53" i="2"/>
  <c r="O52" i="2"/>
  <c r="O49" i="2"/>
  <c r="O48" i="2"/>
  <c r="O47" i="2"/>
  <c r="O45" i="2"/>
  <c r="F6" i="2"/>
  <c r="C6" i="2"/>
  <c r="M54" i="2" l="1"/>
  <c r="L54" i="2"/>
  <c r="N54" i="2" s="1"/>
  <c r="P54" i="2" s="1"/>
  <c r="H53" i="2"/>
  <c r="K53" i="2" s="1"/>
  <c r="J47" i="2"/>
  <c r="I47" i="2"/>
  <c r="H47" i="2"/>
  <c r="K47" i="2" s="1"/>
  <c r="I51" i="2"/>
  <c r="I53" i="2"/>
  <c r="J51" i="2"/>
  <c r="J53" i="2"/>
  <c r="H50" i="2"/>
  <c r="K50" i="2" s="1"/>
  <c r="I50" i="2"/>
  <c r="J50" i="2"/>
  <c r="H51" i="2"/>
  <c r="K51" i="2" s="1"/>
  <c r="H49" i="2" l="1"/>
  <c r="K49" i="2" s="1"/>
  <c r="J48" i="2"/>
  <c r="I52" i="2"/>
  <c r="L52" i="2" s="1"/>
  <c r="M53" i="2"/>
  <c r="M47" i="2"/>
  <c r="L47" i="2"/>
  <c r="L53" i="2"/>
  <c r="M51" i="2"/>
  <c r="L51" i="2"/>
  <c r="L50" i="2"/>
  <c r="M50" i="2"/>
  <c r="J49" i="2" l="1"/>
  <c r="I49" i="2"/>
  <c r="H48" i="2"/>
  <c r="K48" i="2" s="1"/>
  <c r="I48" i="2"/>
  <c r="M48" i="2" s="1"/>
  <c r="J46" i="2"/>
  <c r="I46" i="2"/>
  <c r="L46" i="2" s="1"/>
  <c r="H46" i="2"/>
  <c r="K46" i="2" s="1"/>
  <c r="N47" i="2"/>
  <c r="P47" i="2" s="1"/>
  <c r="I45" i="2"/>
  <c r="L45" i="2" s="1"/>
  <c r="N51" i="2"/>
  <c r="P51" i="2" s="1"/>
  <c r="J52" i="2"/>
  <c r="M52" i="2" s="1"/>
  <c r="N53" i="2"/>
  <c r="P53" i="2" s="1"/>
  <c r="H52" i="2"/>
  <c r="K52" i="2" s="1"/>
  <c r="N50" i="2"/>
  <c r="P50" i="2" s="1"/>
  <c r="J45" i="2" l="1"/>
  <c r="M45" i="2" s="1"/>
  <c r="M49" i="2"/>
  <c r="N52" i="2"/>
  <c r="P52" i="2" s="1"/>
  <c r="L49" i="2"/>
  <c r="L48" i="2"/>
  <c r="N48" i="2" s="1"/>
  <c r="P48" i="2" s="1"/>
  <c r="H45" i="2"/>
  <c r="K45" i="2" s="1"/>
  <c r="M46" i="2"/>
  <c r="N46" i="2" s="1"/>
  <c r="P46" i="2" s="1"/>
  <c r="N49" i="2" l="1"/>
  <c r="P49" i="2" s="1"/>
  <c r="E12" i="2" s="1"/>
  <c r="H12" i="2"/>
  <c r="N45" i="2"/>
  <c r="P45" i="2" s="1"/>
  <c r="B12" i="2" s="1"/>
  <c r="K12" i="2" l="1"/>
</calcChain>
</file>

<file path=xl/sharedStrings.xml><?xml version="1.0" encoding="utf-8"?>
<sst xmlns="http://schemas.openxmlformats.org/spreadsheetml/2006/main" count="306" uniqueCount="147">
  <si>
    <t>THE THREE METHODOLOGICAL PILLARS</t>
  </si>
  <si>
    <t>PILLAR 1: FINANCIAL RISK
(Cash Settlement Obligation)</t>
  </si>
  <si>
    <t>PILLAR 2: LONG OFFSET
(Bought Certificate Relief)</t>
  </si>
  <si>
    <t>PILLAR 3: DELIVERY RISK
(Physical Replacement Protection)</t>
  </si>
  <si>
    <t>Covers open payment obligations from transactions that have not yet financially settled. It is calculated directly using actual trade execution prices (Trade Price × Quantity).</t>
  </si>
  <si>
    <t>Protects against replacement costs in the market for uncovered delivery obligations (Qf + Qd + B &lt; 0), evaluated at current Market Value × (1 + pcr). Any internal delivery balance (B &gt;= 0) directly covers delivery risk.</t>
  </si>
  <si>
    <t>HOW TO USE THIS SIMULATION WORKBOOK</t>
  </si>
  <si>
    <t>Step 1: Set Valuation Date &amp; FX Rate</t>
  </si>
  <si>
    <t>In the 'CERM Calculator' tab, select your Calculation Date (t) in cell C4 from the dropdown of all ECC Business Days (2026-10-01 to 2027-12-31). Review or adjust the GBP/EUR Exchange Rate in cell F4 (pre-filled with 1.2000 €/£).</t>
  </si>
  <si>
    <t>Step 2: Enter Contract Trades (Section 1)</t>
  </si>
  <si>
    <t>Select contracts from the dropdown (col C). For Spot trades, enter Trade Date and Trade Time (CET) (&lt;= 16:00 CET sets Payment to T+1; &gt; 16:00 CET sets Payment to T+2). Enter Lots, Trade Prices, and Buy/Sell direction.</t>
  </si>
  <si>
    <t>Step 3: Review Commodity Aggregation (Section 2)</t>
  </si>
  <si>
    <t>Trades on the same underlying (e.g. EUA Spot and EUA Futures on EUA4) are aggregated FIRST at commodity level. Enter current Market Prices (MV) and your internal delivery account balances (B &gt;= 0) per commodity.</t>
  </si>
  <si>
    <t>Step 4: Check Margin Results (Top Dashboard)</t>
  </si>
  <si>
    <t>Requirements are calculated within each Netting Group (CERT for EU Emissions, GO for Guarantees of Origin, CERT_UK for UK Allowances), floored at 0 EUR, and summed to the Total Account CERM in EUR.</t>
  </si>
  <si>
    <t>ECC Certificate Risk Margin (CERM) - Client Margin Calculator</t>
  </si>
  <si>
    <t>Calculation Date (t):</t>
  </si>
  <si>
    <t>GBP / EUR Exchange Rate:</t>
  </si>
  <si>
    <t>EUR per 1 GBP (Suggested rate: 1.2000 - user editable)</t>
  </si>
  <si>
    <t>Next EUR Business Day (t+1):</t>
  </si>
  <si>
    <t>Next GBP Business Day (t+1):</t>
  </si>
  <si>
    <t>ACCOUNT MARGIN SUMMARY (Aggregated by Netting Group in EUR)</t>
  </si>
  <si>
    <t>NETTING GROUP: GO
Guarantees of Origin (Wind, Solar, etc.)
In EUR, floored at 0 €</t>
  </si>
  <si>
    <t>TOTAL ACCOUNT CERM (EUR)
Sum of Floored Netting Groups
(No cross-netting between groups)</t>
  </si>
  <si>
    <t>1. Contract-Level Trade &amp; Position Inputs</t>
  </si>
  <si>
    <t>Item</t>
  </si>
  <si>
    <t>Contract Code (Dropdown)</t>
  </si>
  <si>
    <t>Commodity</t>
  </si>
  <si>
    <t>Market</t>
  </si>
  <si>
    <t>Currency</t>
  </si>
  <si>
    <t>Trade Date</t>
  </si>
  <si>
    <t>Trade Time (CET)</t>
  </si>
  <si>
    <t>Payment Day</t>
  </si>
  <si>
    <t>Delivery Day</t>
  </si>
  <si>
    <t>Buy / Sell</t>
  </si>
  <si>
    <t>Lots</t>
  </si>
  <si>
    <t>Trade Price
= trade price for spot and final settlement price for derivatives</t>
  </si>
  <si>
    <t>Delivery Status</t>
  </si>
  <si>
    <t>Relevance Status</t>
  </si>
  <si>
    <t>Unsettled Cash (FR)</t>
  </si>
  <si>
    <t>Not Fin. Settled (Q^f)</t>
  </si>
  <si>
    <t>Pending Delivery (Q^d)</t>
  </si>
  <si>
    <t>EUA_SPOT</t>
  </si>
  <si>
    <t>14:30</t>
  </si>
  <si>
    <t>BUY</t>
  </si>
  <si>
    <t>Standard (Auto)</t>
  </si>
  <si>
    <t>11:15</t>
  </si>
  <si>
    <t>SELL</t>
  </si>
  <si>
    <t>Delayed / Pending</t>
  </si>
  <si>
    <t>17:15</t>
  </si>
  <si>
    <t>FEUA_DEC26</t>
  </si>
  <si>
    <t>FUKA_DEC26</t>
  </si>
  <si>
    <t>FUKA_SPOT</t>
  </si>
  <si>
    <t>16:30</t>
  </si>
  <si>
    <t>FETS2_DEC27</t>
  </si>
  <si>
    <t>FGO_WIN_DEC26</t>
  </si>
  <si>
    <t>FGO_SOL_DEC26</t>
  </si>
  <si>
    <t>2. Commodity-Level Aggregation &amp; Currency Conversion to EUR</t>
  </si>
  <si>
    <t>Netting Group</t>
  </si>
  <si>
    <t>Market Price MV (Local)
=The daily spot price or the most recent daily settlement price of the front-month contract if no spot is available.</t>
  </si>
  <si>
    <t>Price Change Risk (pcr)</t>
  </si>
  <si>
    <t xml:space="preserve">DMS Account Balance B </t>
  </si>
  <si>
    <t>Net Unsettled Cash (FR)</t>
  </si>
  <si>
    <t>Net Certs (Q^f)</t>
  </si>
  <si>
    <t>Net Pending Delivery (Q^d)</t>
  </si>
  <si>
    <t>Financial Risk (FR)</t>
  </si>
  <si>
    <t>Offset Net Long (OT)</t>
  </si>
  <si>
    <t>Delivery Risk (DR)</t>
  </si>
  <si>
    <t>Inner CERM (Local)</t>
  </si>
  <si>
    <t>FX Rate to EUR</t>
  </si>
  <si>
    <t>Inner CERM (EUR)</t>
  </si>
  <si>
    <t>EUA4</t>
  </si>
  <si>
    <t>EUA4_UK</t>
  </si>
  <si>
    <t>ETS2</t>
  </si>
  <si>
    <t>GO_WIN</t>
  </si>
  <si>
    <t>GO_SOL</t>
  </si>
  <si>
    <t>GO_HYD</t>
  </si>
  <si>
    <t>GO_POW</t>
  </si>
  <si>
    <t>GO_WHS</t>
  </si>
  <si>
    <t>GO_WHSU</t>
  </si>
  <si>
    <t>ECC CERM - Contract Master, Business Days &amp; Calendar Specifications</t>
  </si>
  <si>
    <t>Contract Code</t>
  </si>
  <si>
    <t>Commodity Key</t>
  </si>
  <si>
    <t>Product Name</t>
  </si>
  <si>
    <t>Contract Size</t>
  </si>
  <si>
    <t>Unit</t>
  </si>
  <si>
    <t>Expiry Date</t>
  </si>
  <si>
    <t>Commodities Master</t>
  </si>
  <si>
    <t>TARGET2 Holidays (EUR)</t>
  </si>
  <si>
    <t>UK Bank Holidays (GBP)</t>
  </si>
  <si>
    <t>ECC Business Days (2026-10-01 to 2027-12-31)</t>
  </si>
  <si>
    <t>EEX EUA Spot</t>
  </si>
  <si>
    <t>Spot</t>
  </si>
  <si>
    <t>CERT</t>
  </si>
  <si>
    <t>EUR</t>
  </si>
  <si>
    <t>t CO2</t>
  </si>
  <si>
    <t>Daily</t>
  </si>
  <si>
    <t>T+1 / T+2</t>
  </si>
  <si>
    <t>EUR Holiday Date</t>
  </si>
  <si>
    <t>Holiday Name</t>
  </si>
  <si>
    <t>GBP Holiday Date</t>
  </si>
  <si>
    <t>Business Day</t>
  </si>
  <si>
    <t>EEX EUA Future Dec26</t>
  </si>
  <si>
    <t>Derivative</t>
  </si>
  <si>
    <t>New Year's Day</t>
  </si>
  <si>
    <t>FEUA_MAR27</t>
  </si>
  <si>
    <t>EEX EUA Future Mar27</t>
  </si>
  <si>
    <t>GBP</t>
  </si>
  <si>
    <t>Good Friday</t>
  </si>
  <si>
    <t>EEX EU ETS2 Future Dec27</t>
  </si>
  <si>
    <t>Easter Monday</t>
  </si>
  <si>
    <t>EEX UKA Spot</t>
  </si>
  <si>
    <t>GO</t>
  </si>
  <si>
    <t>Labour Day</t>
  </si>
  <si>
    <t>Early May Bank Holiday</t>
  </si>
  <si>
    <t>EEX UKA Future Dec26</t>
  </si>
  <si>
    <t>Christmas Day</t>
  </si>
  <si>
    <t>Spring Bank Holiday</t>
  </si>
  <si>
    <t>EEX Wind GO Future Dec26</t>
  </si>
  <si>
    <t>MWh</t>
  </si>
  <si>
    <t>Boxing Day</t>
  </si>
  <si>
    <t>Summer Bank Holiday</t>
  </si>
  <si>
    <t>EEX Solar GO Future Dec26</t>
  </si>
  <si>
    <t>FGO_HYD_DEC26</t>
  </si>
  <si>
    <t>EEX Hydro GO Future Dec26</t>
  </si>
  <si>
    <t>Boxing Day (substitute)</t>
  </si>
  <si>
    <t>FGO_POW_DEC26</t>
  </si>
  <si>
    <t>EEX Ren. Power GO Dec26</t>
  </si>
  <si>
    <t>FGO_WHS_DEC26</t>
  </si>
  <si>
    <t>EEX WHS GO Future Dec26</t>
  </si>
  <si>
    <t>FGO_WHSU_DEC26</t>
  </si>
  <si>
    <t>EEX WHS Unsupported Dec26</t>
  </si>
  <si>
    <t>Christmas Day (substitute)</t>
  </si>
  <si>
    <t xml:space="preserve">European Commodity Clearing AG </t>
  </si>
  <si>
    <t>Certificate Risk Margin (CERM) - Client Margin Calculator</t>
  </si>
  <si>
    <t>Version 1.0</t>
  </si>
  <si>
    <t>This calculation tool is provided by European Commodity Clearing AG (ECC) to enable Clearing Members and Trading Participants to simulate and forecast their Certificate Risk Margin (CERM) requirements across storable certificate products (EU Emission Allowances, UK Allowances, and Guarantees of Origin). CERM consolidates legacy margin classes (CESM, AMEM, DMEM, IMSM premium margin) into a single, unified and transparent risk framework.</t>
  </si>
  <si>
    <t>Net bought certificates awaiting financial settlement (Qf &gt; 0) serve as an eligible relief against open financial risk, adjusted by a price change risk parameter (1 - pcr) applied to the current market value.</t>
  </si>
  <si>
    <t>DISCLAIMER &amp; SUPPORT:
This calculator is provided for simulation and informational purposes only.  Although the tool was constructed with greatest diligence, errors, rounding errors and therefore deviations from the productive process cannot be excluded. Official margin calls are determined by ECC's clearing systems based on official market settlement prices and the officially published ECC Risk Parameters file. For technical or methodological questions, please contact us via clearing@ecc.de.</t>
  </si>
  <si>
    <t>CGFR</t>
  </si>
  <si>
    <t>CG</t>
  </si>
  <si>
    <t>CGFR_SPOT</t>
  </si>
  <si>
    <t>NETTING GROUP: CERT
EU Emissions (EUA, ETS2) and UK Allowances
converted to EUR, floored at 0 €</t>
  </si>
  <si>
    <t>NETTING GROUP: CGFR
French Capacity Certficates Auction
Converted to EUR, floored at 0 €</t>
  </si>
  <si>
    <t>EPEX French Capacity Certificates</t>
  </si>
  <si>
    <t xml:space="preserve">Enter trades. For Spot, Trade Time &lt;= 16:00 CET sets Payment to T+1; &gt; 16:00 CET sets Payment to T+2. </t>
  </si>
  <si>
    <t>Trades are aggregated per Commodity. GBP requirements (FUKA / EUA4_UK) are converted to EUR using the exchange rate specified in cell F4.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</si>
</sst>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yyyy\-mm\-dd"/>
    <numFmt numFmtId="166" formatCode="0.0000"/>
    <numFmt numFmtId="167" formatCode="#,##0.00\ \€"/>
    <numFmt numFmtId="169" formatCode="yyyy\-mm\-dd;@"/>
  </numFmts>
  <fonts count="30" x14ac:knownFonts="1">
    <font>
      <sz val="11"/>
      <color theme="1"/>
      <name val="Calibri"/>
      <family val="2"/>
      <scheme val="minor"/>
    </font>
    <font>
      <b/>
      <sz val="15"/>
      <color rgb="FF003366"/>
      <name val="Segoe UI"/>
    </font>
    <font>
      <b/>
      <sz val="9"/>
      <color rgb="FFFFFFFF"/>
      <name val="Segoe UI"/>
    </font>
    <font>
      <sz val="9.5"/>
      <color rgb="FF2A2A2A"/>
      <name val="Segoe UI"/>
    </font>
    <font>
      <b/>
      <sz val="11"/>
      <color rgb="FF003366"/>
      <name val="Segoe UI"/>
    </font>
    <font>
      <b/>
      <sz val="9.5"/>
      <color rgb="FF2A2A2A"/>
      <name val="Segoe UI"/>
    </font>
    <font>
      <sz val="8.5"/>
      <color rgb="FF555555"/>
      <name val="Segoe UI"/>
    </font>
    <font>
      <b/>
      <sz val="13"/>
      <color rgb="FF003366"/>
      <name val="Segoe UI"/>
    </font>
    <font>
      <b/>
      <sz val="8.5"/>
      <color rgb="FF1B8738"/>
      <name val="Segoe UI"/>
    </font>
    <font>
      <b/>
      <sz val="13"/>
      <color rgb="FF1B8738"/>
      <name val="Segoe UI"/>
    </font>
    <font>
      <b/>
      <sz val="13"/>
      <color rgb="FF6A1B9A"/>
      <name val="Segoe UI"/>
    </font>
    <font>
      <b/>
      <sz val="9"/>
      <color rgb="FFB0C4DE"/>
      <name val="Segoe UI"/>
    </font>
    <font>
      <b/>
      <sz val="16"/>
      <color rgb="FFFFFFFF"/>
      <name val="Segoe UI"/>
    </font>
    <font>
      <i/>
      <sz val="9.5"/>
      <color rgb="FFE0E8F5"/>
      <name val="Segoe UI"/>
    </font>
    <font>
      <b/>
      <sz val="9"/>
      <color rgb="FF0052CC"/>
      <name val="Segoe UI"/>
    </font>
    <font>
      <sz val="8.5"/>
      <color rgb="FF2A2A2A"/>
      <name val="Segoe UI"/>
    </font>
    <font>
      <b/>
      <sz val="9"/>
      <color rgb="FF1B8738"/>
      <name val="Segoe UI"/>
    </font>
    <font>
      <b/>
      <sz val="9"/>
      <color rgb="FFD93025"/>
      <name val="Segoe UI"/>
    </font>
    <font>
      <sz val="9.5"/>
      <color rgb="FF2A2A2A"/>
      <name val="Segoe UI"/>
      <family val="2"/>
    </font>
    <font>
      <b/>
      <sz val="9"/>
      <color rgb="FFFFFFFF"/>
      <name val="Segoe UI"/>
      <family val="2"/>
    </font>
    <font>
      <sz val="11"/>
      <color theme="0"/>
      <name val="Calibri"/>
      <family val="2"/>
      <scheme val="minor"/>
    </font>
    <font>
      <sz val="8.5"/>
      <color rgb="FF2A2A2A"/>
      <name val="Segoe UI"/>
      <family val="2"/>
    </font>
    <font>
      <i/>
      <sz val="8.5"/>
      <color rgb="FF555555"/>
      <name val="Segoe UI"/>
      <family val="2"/>
    </font>
    <font>
      <b/>
      <sz val="8.5"/>
      <color rgb="FF6A1B9A"/>
      <name val="Segoe UI"/>
      <family val="2"/>
    </font>
    <font>
      <b/>
      <sz val="8.5"/>
      <color theme="9" tint="-0.499984740745262"/>
      <name val="Segoe UI"/>
      <family val="2"/>
    </font>
    <font>
      <sz val="11"/>
      <color theme="9" tint="-0.499984740745262"/>
      <name val="Calibri"/>
      <family val="2"/>
      <scheme val="minor"/>
    </font>
    <font>
      <b/>
      <sz val="13"/>
      <color theme="9" tint="-0.499984740745262"/>
      <name val="Segoe UI"/>
      <family val="2"/>
    </font>
    <font>
      <b/>
      <sz val="9.5"/>
      <color rgb="FF2A2A2A"/>
      <name val="Segoe UI"/>
      <family val="2"/>
    </font>
    <font>
      <b/>
      <sz val="8.5"/>
      <color rgb="FF003366"/>
      <name val="Segoe UI"/>
      <family val="2"/>
    </font>
    <font>
      <sz val="8.5"/>
      <color rgb="FF555555"/>
      <name val="Segoe UI"/>
      <family val="2"/>
    </font>
  </fonts>
  <fills count="15">
    <fill>
      <patternFill patternType="none"/>
    </fill>
    <fill>
      <patternFill patternType="gray125"/>
    </fill>
    <fill>
      <patternFill patternType="solid">
        <fgColor rgb="FF003366"/>
        <bgColor rgb="FF003366"/>
      </patternFill>
    </fill>
    <fill>
      <patternFill patternType="solid">
        <fgColor rgb="FFFFF9E6"/>
        <bgColor rgb="FFFFF9E6"/>
      </patternFill>
    </fill>
    <fill>
      <patternFill patternType="solid">
        <fgColor rgb="FFF7F9FA"/>
        <bgColor rgb="FFF7F9FA"/>
      </patternFill>
    </fill>
    <fill>
      <patternFill patternType="solid">
        <fgColor rgb="FFEBF3FC"/>
        <bgColor rgb="FFEBF3FC"/>
      </patternFill>
    </fill>
    <fill>
      <patternFill patternType="solid">
        <fgColor rgb="FFEBF7EE"/>
        <bgColor rgb="FFEBF7EE"/>
      </patternFill>
    </fill>
    <fill>
      <patternFill patternType="solid">
        <fgColor rgb="FFF6EEFA"/>
        <bgColor rgb="FFF6EEFA"/>
      </patternFill>
    </fill>
    <fill>
      <patternFill patternType="solid">
        <fgColor rgb="FFF8FAFC"/>
        <bgColor rgb="FFF8FAFC"/>
      </patternFill>
    </fill>
    <fill>
      <patternFill patternType="solid">
        <fgColor rgb="FFFFFFFF"/>
        <bgColor rgb="FFFFFFFF"/>
      </patternFill>
    </fill>
    <fill>
      <patternFill patternType="solid">
        <fgColor rgb="FFFDF2F2"/>
        <bgColor rgb="FFFDF2F2"/>
      </patternFill>
    </fill>
    <fill>
      <patternFill patternType="solid">
        <fgColor rgb="FFF4F6F9"/>
        <bgColor rgb="FFF4F6F9"/>
      </patternFill>
    </fill>
    <fill>
      <patternFill patternType="solid">
        <fgColor rgb="FFFFFBEB"/>
        <bgColor rgb="FFFFFBEB"/>
      </patternFill>
    </fill>
    <fill>
      <patternFill patternType="solid">
        <fgColor theme="9" tint="0.79998168889431442"/>
        <bgColor indexed="64"/>
      </patternFill>
    </fill>
    <fill>
      <patternFill patternType="solid">
        <fgColor theme="9" tint="0.79998168889431442"/>
        <bgColor rgb="FFF7F9FA"/>
      </patternFill>
    </fill>
  </fills>
  <borders count="3">
    <border>
      <left/>
      <right/>
      <top/>
      <bottom/>
      <diagonal/>
    </border>
    <border>
      <left style="thin">
        <color rgb="FFD0D7DE"/>
      </left>
      <right style="thin">
        <color rgb="FFD0D7DE"/>
      </right>
      <top style="thin">
        <color rgb="FFD0D7DE"/>
      </top>
      <bottom style="thin">
        <color rgb="FFD0D7DE"/>
      </bottom>
      <diagonal/>
    </border>
    <border>
      <left style="thin">
        <color rgb="FFD0D7DE"/>
      </left>
      <right style="thin">
        <color rgb="FFD0D7DE"/>
      </right>
      <top/>
      <bottom/>
      <diagonal/>
    </border>
  </borders>
  <cellStyleXfs count="1">
    <xf numFmtId="0" fontId="0" fillId="0" borderId="0"/>
  </cellStyleXfs>
  <cellXfs count="72">
    <xf numFmtId="0" fontId="0" fillId="0" borderId="0" xfId="0"/>
    <xf numFmtId="0" fontId="11" fillId="2" borderId="0" xfId="0" applyFont="1" applyFill="1"/>
    <xf numFmtId="0" fontId="0" fillId="2" borderId="0" xfId="0" applyFill="1"/>
    <xf numFmtId="0" fontId="12" fillId="2" borderId="0" xfId="0" applyFont="1" applyFill="1"/>
    <xf numFmtId="0" fontId="13" fillId="2" borderId="0" xfId="0" applyFont="1" applyFill="1"/>
    <xf numFmtId="0" fontId="4" fillId="0" borderId="0" xfId="0" applyFont="1"/>
    <xf numFmtId="0" fontId="1" fillId="0" borderId="0" xfId="0" applyFont="1"/>
    <xf numFmtId="0" fontId="5" fillId="0" borderId="0" xfId="0" applyFont="1"/>
    <xf numFmtId="165" fontId="5" fillId="3" borderId="1" xfId="0" applyNumberFormat="1" applyFont="1" applyFill="1" applyBorder="1" applyAlignment="1">
      <alignment horizontal="center"/>
    </xf>
    <xf numFmtId="0" fontId="6" fillId="0" borderId="0" xfId="0" applyFont="1"/>
    <xf numFmtId="0" fontId="3" fillId="0" borderId="0" xfId="0" applyFont="1"/>
    <xf numFmtId="165" fontId="3" fillId="4" borderId="1" xfId="0" applyNumberFormat="1" applyFont="1" applyFill="1" applyBorder="1" applyAlignment="1">
      <alignment horizontal="center"/>
    </xf>
    <xf numFmtId="0" fontId="2" fillId="2" borderId="0" xfId="0" applyFont="1" applyFill="1" applyAlignment="1">
      <alignment horizontal="center" vertical="center" wrapText="1"/>
    </xf>
    <xf numFmtId="0" fontId="6" fillId="0" borderId="1" xfId="0" applyFont="1" applyBorder="1" applyAlignment="1">
      <alignment horizontal="center"/>
    </xf>
    <xf numFmtId="0" fontId="5" fillId="3" borderId="1" xfId="0" applyFont="1" applyFill="1" applyBorder="1" applyAlignment="1">
      <alignment horizontal="center"/>
    </xf>
    <xf numFmtId="0" fontId="5" fillId="4" borderId="1" xfId="0" applyFont="1" applyFill="1" applyBorder="1" applyAlignment="1">
      <alignment horizontal="center"/>
    </xf>
    <xf numFmtId="0" fontId="3" fillId="4" borderId="1" xfId="0" applyFont="1" applyFill="1" applyBorder="1" applyAlignment="1">
      <alignment horizontal="center"/>
    </xf>
    <xf numFmtId="0" fontId="3" fillId="3" borderId="1" xfId="0" applyFont="1" applyFill="1" applyBorder="1" applyAlignment="1">
      <alignment horizontal="center"/>
    </xf>
    <xf numFmtId="3" fontId="5" fillId="3" borderId="1" xfId="0" applyNumberFormat="1" applyFont="1" applyFill="1" applyBorder="1" applyAlignment="1">
      <alignment horizontal="right"/>
    </xf>
    <xf numFmtId="4" fontId="5" fillId="3" borderId="1" xfId="0" applyNumberFormat="1" applyFont="1" applyFill="1" applyBorder="1" applyAlignment="1">
      <alignment horizontal="right"/>
    </xf>
    <xf numFmtId="0" fontId="6" fillId="4" borderId="1" xfId="0" applyFont="1" applyFill="1" applyBorder="1" applyAlignment="1">
      <alignment horizontal="center"/>
    </xf>
    <xf numFmtId="4" fontId="3" fillId="4" borderId="1" xfId="0" applyNumberFormat="1" applyFont="1" applyFill="1" applyBorder="1" applyAlignment="1">
      <alignment horizontal="right"/>
    </xf>
    <xf numFmtId="3" fontId="3" fillId="4" borderId="1" xfId="0" applyNumberFormat="1" applyFont="1" applyFill="1" applyBorder="1" applyAlignment="1">
      <alignment horizontal="right"/>
    </xf>
    <xf numFmtId="0" fontId="5" fillId="0" borderId="1" xfId="0" applyFont="1" applyBorder="1" applyAlignment="1">
      <alignment horizontal="center"/>
    </xf>
    <xf numFmtId="164" fontId="3" fillId="4" borderId="1" xfId="0" applyNumberFormat="1" applyFont="1" applyFill="1" applyBorder="1" applyAlignment="1">
      <alignment horizontal="right"/>
    </xf>
    <xf numFmtId="4" fontId="5" fillId="4" borderId="1" xfId="0" applyNumberFormat="1" applyFont="1" applyFill="1" applyBorder="1" applyAlignment="1">
      <alignment horizontal="right"/>
    </xf>
    <xf numFmtId="3" fontId="5" fillId="4" borderId="1" xfId="0" applyNumberFormat="1" applyFont="1" applyFill="1" applyBorder="1" applyAlignment="1">
      <alignment horizontal="right"/>
    </xf>
    <xf numFmtId="166" fontId="3"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0" fontId="3" fillId="0" borderId="1" xfId="0" applyFont="1" applyBorder="1" applyAlignment="1">
      <alignment horizontal="center"/>
    </xf>
    <xf numFmtId="0" fontId="3" fillId="0" borderId="1" xfId="0" applyFont="1" applyBorder="1"/>
    <xf numFmtId="3" fontId="3" fillId="0" borderId="1" xfId="0" applyNumberFormat="1" applyFont="1" applyBorder="1" applyAlignment="1">
      <alignment horizontal="right"/>
    </xf>
    <xf numFmtId="164" fontId="3" fillId="0" borderId="1" xfId="0" applyNumberFormat="1" applyFont="1" applyBorder="1" applyAlignment="1">
      <alignment horizontal="right"/>
    </xf>
    <xf numFmtId="0" fontId="2" fillId="2" borderId="0" xfId="0" applyFont="1" applyFill="1"/>
    <xf numFmtId="165" fontId="3" fillId="0" borderId="1" xfId="0" applyNumberFormat="1" applyFont="1" applyBorder="1" applyAlignment="1">
      <alignment horizontal="center"/>
    </xf>
    <xf numFmtId="166" fontId="18" fillId="3" borderId="1" xfId="0" applyNumberFormat="1" applyFont="1" applyFill="1" applyBorder="1" applyAlignment="1">
      <alignment horizontal="right"/>
    </xf>
    <xf numFmtId="0" fontId="19" fillId="2" borderId="0" xfId="0" applyFont="1" applyFill="1" applyAlignment="1">
      <alignment horizontal="center" vertical="center" wrapText="1"/>
    </xf>
    <xf numFmtId="167" fontId="7" fillId="5" borderId="0" xfId="0" applyNumberFormat="1" applyFont="1" applyFill="1" applyAlignment="1">
      <alignment horizontal="center" vertical="center"/>
    </xf>
    <xf numFmtId="0" fontId="0" fillId="0" borderId="0" xfId="0"/>
    <xf numFmtId="167" fontId="9" fillId="6" borderId="0" xfId="0" applyNumberFormat="1" applyFont="1" applyFill="1" applyAlignment="1">
      <alignment horizontal="center" vertical="center"/>
    </xf>
    <xf numFmtId="167" fontId="10" fillId="7" borderId="0" xfId="0" applyNumberFormat="1" applyFont="1" applyFill="1" applyAlignment="1">
      <alignment horizontal="center" vertical="center"/>
    </xf>
    <xf numFmtId="0" fontId="8" fillId="6" borderId="0" xfId="0" applyFont="1" applyFill="1" applyAlignment="1">
      <alignment horizontal="center" vertical="center" wrapText="1"/>
    </xf>
    <xf numFmtId="0" fontId="0" fillId="12" borderId="1" xfId="0" applyFill="1" applyBorder="1"/>
    <xf numFmtId="0" fontId="5" fillId="11" borderId="1" xfId="0" applyFont="1" applyFill="1" applyBorder="1" applyAlignment="1">
      <alignment vertical="center" wrapText="1"/>
    </xf>
    <xf numFmtId="0" fontId="0" fillId="0" borderId="1" xfId="0" applyBorder="1" applyAlignment="1">
      <alignment wrapText="1"/>
    </xf>
    <xf numFmtId="0" fontId="16" fillId="6" borderId="1" xfId="0" applyFont="1" applyFill="1" applyBorder="1" applyAlignment="1">
      <alignment horizontal="center" vertical="center" wrapText="1"/>
    </xf>
    <xf numFmtId="0" fontId="0" fillId="0" borderId="1" xfId="0" applyBorder="1"/>
    <xf numFmtId="0" fontId="15" fillId="9" borderId="1" xfId="0" applyFont="1" applyFill="1" applyBorder="1" applyAlignment="1">
      <alignment vertical="top" wrapText="1"/>
    </xf>
    <xf numFmtId="0" fontId="17" fillId="10" borderId="1" xfId="0" applyFont="1" applyFill="1" applyBorder="1" applyAlignment="1">
      <alignment horizontal="center" vertical="center" wrapText="1"/>
    </xf>
    <xf numFmtId="0" fontId="3" fillId="9" borderId="1" xfId="0" applyFont="1" applyFill="1" applyBorder="1" applyAlignment="1">
      <alignment vertical="center" wrapText="1"/>
    </xf>
    <xf numFmtId="0" fontId="0" fillId="8" borderId="1" xfId="0" applyFill="1" applyBorder="1"/>
    <xf numFmtId="0" fontId="14" fillId="5" borderId="1" xfId="0" applyFont="1" applyFill="1" applyBorder="1" applyAlignment="1">
      <alignment horizontal="center" vertical="center" wrapText="1"/>
    </xf>
    <xf numFmtId="0" fontId="3" fillId="0" borderId="2" xfId="0" applyFont="1" applyFill="1" applyBorder="1" applyAlignment="1">
      <alignment horizontal="center"/>
    </xf>
    <xf numFmtId="164" fontId="3" fillId="0" borderId="2" xfId="0" applyNumberFormat="1" applyFont="1" applyFill="1" applyBorder="1" applyAlignment="1">
      <alignment horizontal="right"/>
    </xf>
    <xf numFmtId="169" fontId="20" fillId="2" borderId="0" xfId="0" applyNumberFormat="1" applyFont="1" applyFill="1"/>
    <xf numFmtId="0" fontId="18" fillId="8" borderId="1" xfId="0" applyFont="1" applyFill="1" applyBorder="1" applyAlignment="1">
      <alignment vertical="center" wrapText="1"/>
    </xf>
    <xf numFmtId="0" fontId="21" fillId="9" borderId="1" xfId="0" applyFont="1" applyFill="1" applyBorder="1" applyAlignment="1">
      <alignment vertical="top" wrapText="1"/>
    </xf>
    <xf numFmtId="0" fontId="22" fillId="12" borderId="1" xfId="0" applyFont="1" applyFill="1" applyBorder="1" applyAlignment="1">
      <alignment vertical="center" wrapText="1"/>
    </xf>
    <xf numFmtId="0" fontId="23" fillId="7" borderId="0" xfId="0" applyFont="1" applyFill="1" applyAlignment="1">
      <alignment horizontal="center" vertical="center" wrapText="1"/>
    </xf>
    <xf numFmtId="0" fontId="25" fillId="13" borderId="0" xfId="0" applyFont="1" applyFill="1"/>
    <xf numFmtId="0" fontId="18" fillId="0" borderId="2" xfId="0" applyFont="1" applyBorder="1" applyAlignment="1">
      <alignment horizontal="center"/>
    </xf>
    <xf numFmtId="0" fontId="18" fillId="0" borderId="2" xfId="0" applyFont="1" applyBorder="1"/>
    <xf numFmtId="3" fontId="18" fillId="0" borderId="2" xfId="0" applyNumberFormat="1" applyFont="1" applyBorder="1" applyAlignment="1">
      <alignment horizontal="right"/>
    </xf>
    <xf numFmtId="0" fontId="27" fillId="0" borderId="2" xfId="0" applyFont="1" applyBorder="1" applyAlignment="1">
      <alignment horizontal="center"/>
    </xf>
    <xf numFmtId="164" fontId="18" fillId="0" borderId="2" xfId="0" applyNumberFormat="1" applyFont="1" applyBorder="1" applyAlignment="1">
      <alignment horizontal="right"/>
    </xf>
    <xf numFmtId="0" fontId="18" fillId="0" borderId="1" xfId="0" applyFont="1" applyBorder="1" applyAlignment="1">
      <alignment horizontal="center"/>
    </xf>
    <xf numFmtId="0" fontId="24" fillId="14" borderId="0" xfId="0" applyFont="1" applyFill="1" applyAlignment="1">
      <alignment horizontal="center" vertical="center" wrapText="1"/>
    </xf>
    <xf numFmtId="167" fontId="26" fillId="14" borderId="0" xfId="0" applyNumberFormat="1" applyFont="1" applyFill="1" applyAlignment="1">
      <alignment horizontal="center" vertical="center"/>
    </xf>
    <xf numFmtId="0" fontId="28" fillId="5" borderId="0" xfId="0" applyFont="1" applyFill="1" applyAlignment="1">
      <alignment horizontal="center" vertical="center" wrapText="1"/>
    </xf>
    <xf numFmtId="0" fontId="29" fillId="0" borderId="0" xfId="0" applyFont="1"/>
    <xf numFmtId="20" fontId="3" fillId="3" borderId="1" xfId="0" applyNumberFormat="1" applyFont="1" applyFill="1" applyBorder="1" applyAlignment="1">
      <alignment horizontal="center"/>
    </xf>
    <xf numFmtId="0" fontId="27" fillId="0" borderId="1" xfId="0" applyFont="1" applyBorder="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701675</xdr:colOff>
      <xdr:row>8</xdr:row>
      <xdr:rowOff>38100</xdr:rowOff>
    </xdr:to>
    <xdr:pic>
      <xdr:nvPicPr>
        <xdr:cNvPr id="3" name="Picture 2">
          <a:extLst>
            <a:ext uri="{FF2B5EF4-FFF2-40B4-BE49-F238E27FC236}">
              <a16:creationId xmlns:a16="http://schemas.microsoft.com/office/drawing/2014/main" id="{125A6802-4A29-4D75-A3FB-44904CC5F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80975"/>
          <a:ext cx="2244725" cy="130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9:M32"/>
  <sheetViews>
    <sheetView showGridLines="0" tabSelected="1" workbookViewId="0">
      <selection activeCell="B1" sqref="B1"/>
    </sheetView>
  </sheetViews>
  <sheetFormatPr baseColWidth="10" defaultColWidth="8.7265625" defaultRowHeight="14.5" x14ac:dyDescent="0.35"/>
  <cols>
    <col min="1" max="1" width="3" customWidth="1"/>
    <col min="2" max="13" width="11" customWidth="1"/>
  </cols>
  <sheetData>
    <row r="9" spans="2:13" ht="15" x14ac:dyDescent="0.4">
      <c r="B9" s="1" t="s">
        <v>133</v>
      </c>
      <c r="C9" s="2"/>
      <c r="D9" s="2"/>
      <c r="E9" s="2"/>
      <c r="F9" s="2"/>
      <c r="G9" s="2"/>
      <c r="H9" s="2"/>
      <c r="I9" s="2"/>
      <c r="J9" s="2"/>
      <c r="K9" s="2"/>
      <c r="L9" s="2"/>
      <c r="M9" s="2"/>
    </row>
    <row r="10" spans="2:13" ht="25" x14ac:dyDescent="0.7">
      <c r="B10" s="3" t="s">
        <v>134</v>
      </c>
      <c r="C10" s="2"/>
      <c r="D10" s="2"/>
      <c r="E10" s="2"/>
      <c r="F10" s="2"/>
      <c r="G10" s="2"/>
      <c r="H10" s="2"/>
      <c r="I10" s="2"/>
      <c r="J10" s="2"/>
      <c r="K10" s="2"/>
      <c r="L10" s="2"/>
      <c r="M10" s="2"/>
    </row>
    <row r="11" spans="2:13" x14ac:dyDescent="0.35">
      <c r="B11" s="4" t="s">
        <v>135</v>
      </c>
      <c r="C11" s="54">
        <v>46300</v>
      </c>
      <c r="D11" s="2"/>
      <c r="E11" s="2"/>
      <c r="F11" s="2"/>
      <c r="G11" s="2"/>
      <c r="H11" s="2"/>
      <c r="I11" s="2"/>
      <c r="J11" s="2"/>
      <c r="K11" s="2"/>
      <c r="L11" s="2"/>
      <c r="M11" s="2"/>
    </row>
    <row r="13" spans="2:13" x14ac:dyDescent="0.35">
      <c r="B13" s="55" t="s">
        <v>136</v>
      </c>
      <c r="C13" s="50"/>
      <c r="D13" s="50"/>
      <c r="E13" s="50"/>
      <c r="F13" s="50"/>
      <c r="G13" s="50"/>
      <c r="H13" s="50"/>
      <c r="I13" s="50"/>
      <c r="J13" s="50"/>
      <c r="K13" s="50"/>
      <c r="L13" s="50"/>
      <c r="M13" s="50"/>
    </row>
    <row r="14" spans="2:13" ht="48.65" customHeight="1" x14ac:dyDescent="0.35">
      <c r="B14" s="50"/>
      <c r="C14" s="50"/>
      <c r="D14" s="50"/>
      <c r="E14" s="50"/>
      <c r="F14" s="50"/>
      <c r="G14" s="50"/>
      <c r="H14" s="50"/>
      <c r="I14" s="50"/>
      <c r="J14" s="50"/>
      <c r="K14" s="50"/>
      <c r="L14" s="50"/>
      <c r="M14" s="50"/>
    </row>
    <row r="16" spans="2:13" ht="16.5" x14ac:dyDescent="0.45">
      <c r="B16" s="5" t="s">
        <v>0</v>
      </c>
    </row>
    <row r="18" spans="2:13" x14ac:dyDescent="0.35">
      <c r="B18" s="51" t="s">
        <v>1</v>
      </c>
      <c r="C18" s="46"/>
      <c r="D18" s="46"/>
      <c r="E18" s="46"/>
      <c r="F18" s="45" t="s">
        <v>2</v>
      </c>
      <c r="G18" s="46"/>
      <c r="H18" s="46"/>
      <c r="I18" s="46"/>
      <c r="J18" s="48" t="s">
        <v>3</v>
      </c>
      <c r="K18" s="46"/>
      <c r="L18" s="46"/>
      <c r="M18" s="46"/>
    </row>
    <row r="19" spans="2:13" x14ac:dyDescent="0.35">
      <c r="B19" s="47" t="s">
        <v>4</v>
      </c>
      <c r="C19" s="46"/>
      <c r="D19" s="46"/>
      <c r="E19" s="46"/>
      <c r="F19" s="56" t="s">
        <v>137</v>
      </c>
      <c r="G19" s="46"/>
      <c r="H19" s="46"/>
      <c r="I19" s="46"/>
      <c r="J19" s="47" t="s">
        <v>5</v>
      </c>
      <c r="K19" s="46"/>
      <c r="L19" s="46"/>
      <c r="M19" s="46"/>
    </row>
    <row r="20" spans="2:13" x14ac:dyDescent="0.35">
      <c r="B20" s="46"/>
      <c r="C20" s="46"/>
      <c r="D20" s="46"/>
      <c r="E20" s="46"/>
      <c r="F20" s="46"/>
      <c r="G20" s="46"/>
      <c r="H20" s="46"/>
      <c r="I20" s="46"/>
      <c r="J20" s="46"/>
      <c r="K20" s="46"/>
      <c r="L20" s="46"/>
      <c r="M20" s="46"/>
    </row>
    <row r="21" spans="2:13" ht="38.5" customHeight="1" x14ac:dyDescent="0.35">
      <c r="B21" s="46"/>
      <c r="C21" s="46"/>
      <c r="D21" s="46"/>
      <c r="E21" s="46"/>
      <c r="F21" s="46"/>
      <c r="G21" s="46"/>
      <c r="H21" s="46"/>
      <c r="I21" s="46"/>
      <c r="J21" s="46"/>
      <c r="K21" s="46"/>
      <c r="L21" s="46"/>
      <c r="M21" s="46"/>
    </row>
    <row r="23" spans="2:13" ht="16.5" x14ac:dyDescent="0.45">
      <c r="B23" s="5" t="s">
        <v>6</v>
      </c>
    </row>
    <row r="24" spans="2:13" ht="51" customHeight="1" x14ac:dyDescent="0.35">
      <c r="B24" s="43" t="s">
        <v>7</v>
      </c>
      <c r="C24" s="44"/>
      <c r="D24" s="44"/>
      <c r="E24" s="49" t="s">
        <v>8</v>
      </c>
      <c r="F24" s="46"/>
      <c r="G24" s="46"/>
      <c r="H24" s="46"/>
      <c r="I24" s="46"/>
      <c r="J24" s="46"/>
      <c r="K24" s="46"/>
      <c r="L24" s="46"/>
      <c r="M24" s="46"/>
    </row>
    <row r="25" spans="2:13" ht="51" customHeight="1" x14ac:dyDescent="0.35">
      <c r="B25" s="43" t="s">
        <v>9</v>
      </c>
      <c r="C25" s="44"/>
      <c r="D25" s="44"/>
      <c r="E25" s="49" t="s">
        <v>10</v>
      </c>
      <c r="F25" s="46"/>
      <c r="G25" s="46"/>
      <c r="H25" s="46"/>
      <c r="I25" s="46"/>
      <c r="J25" s="46"/>
      <c r="K25" s="46"/>
      <c r="L25" s="46"/>
      <c r="M25" s="46"/>
    </row>
    <row r="26" spans="2:13" ht="51" customHeight="1" x14ac:dyDescent="0.35">
      <c r="B26" s="43" t="s">
        <v>11</v>
      </c>
      <c r="C26" s="44"/>
      <c r="D26" s="44"/>
      <c r="E26" s="49" t="s">
        <v>12</v>
      </c>
      <c r="F26" s="46"/>
      <c r="G26" s="46"/>
      <c r="H26" s="46"/>
      <c r="I26" s="46"/>
      <c r="J26" s="46"/>
      <c r="K26" s="46"/>
      <c r="L26" s="46"/>
      <c r="M26" s="46"/>
    </row>
    <row r="27" spans="2:13" ht="51" customHeight="1" x14ac:dyDescent="0.35">
      <c r="B27" s="43" t="s">
        <v>13</v>
      </c>
      <c r="C27" s="44"/>
      <c r="D27" s="44"/>
      <c r="E27" s="49" t="s">
        <v>14</v>
      </c>
      <c r="F27" s="46"/>
      <c r="G27" s="46"/>
      <c r="H27" s="46"/>
      <c r="I27" s="46"/>
      <c r="J27" s="46"/>
      <c r="K27" s="46"/>
      <c r="L27" s="46"/>
      <c r="M27" s="46"/>
    </row>
    <row r="31" spans="2:13" x14ac:dyDescent="0.35">
      <c r="B31" s="57" t="s">
        <v>138</v>
      </c>
      <c r="C31" s="42"/>
      <c r="D31" s="42"/>
      <c r="E31" s="42"/>
      <c r="F31" s="42"/>
      <c r="G31" s="42"/>
      <c r="H31" s="42"/>
      <c r="I31" s="42"/>
      <c r="J31" s="42"/>
      <c r="K31" s="42"/>
      <c r="L31" s="42"/>
      <c r="M31" s="42"/>
    </row>
    <row r="32" spans="2:13" ht="45.65" customHeight="1" x14ac:dyDescent="0.35">
      <c r="B32" s="42"/>
      <c r="C32" s="42"/>
      <c r="D32" s="42"/>
      <c r="E32" s="42"/>
      <c r="F32" s="42"/>
      <c r="G32" s="42"/>
      <c r="H32" s="42"/>
      <c r="I32" s="42"/>
      <c r="J32" s="42"/>
      <c r="K32" s="42"/>
      <c r="L32" s="42"/>
      <c r="M32" s="42"/>
    </row>
  </sheetData>
  <mergeCells count="16">
    <mergeCell ref="B13:M14"/>
    <mergeCell ref="B24:D24"/>
    <mergeCell ref="B18:E18"/>
    <mergeCell ref="E24:M24"/>
    <mergeCell ref="B26:D26"/>
    <mergeCell ref="F19:I21"/>
    <mergeCell ref="E26:M26"/>
    <mergeCell ref="J19:M21"/>
    <mergeCell ref="B25:D25"/>
    <mergeCell ref="E25:M25"/>
    <mergeCell ref="B31:M32"/>
    <mergeCell ref="B27:D27"/>
    <mergeCell ref="F18:I18"/>
    <mergeCell ref="B19:E21"/>
    <mergeCell ref="J18:M18"/>
    <mergeCell ref="E27:M2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R54"/>
  <sheetViews>
    <sheetView showGridLines="0" workbookViewId="0"/>
  </sheetViews>
  <sheetFormatPr baseColWidth="10" defaultColWidth="8.7265625" defaultRowHeight="14.5" x14ac:dyDescent="0.35"/>
  <cols>
    <col min="1" max="1" width="3" customWidth="1"/>
    <col min="2" max="2" width="25.7265625" customWidth="1"/>
    <col min="3" max="3" width="18" customWidth="1"/>
    <col min="4" max="4" width="14" customWidth="1"/>
    <col min="5" max="5" width="28.453125" customWidth="1"/>
    <col min="6" max="6" width="10" customWidth="1"/>
    <col min="7" max="7" width="13" customWidth="1"/>
    <col min="8" max="8" width="15" customWidth="1"/>
    <col min="9" max="10" width="13" customWidth="1"/>
    <col min="11" max="12" width="10" customWidth="1"/>
    <col min="13" max="13" width="14" customWidth="1"/>
    <col min="14" max="14" width="16" customWidth="1"/>
    <col min="15" max="15" width="24" customWidth="1"/>
    <col min="16" max="18" width="16" customWidth="1"/>
  </cols>
  <sheetData>
    <row r="2" spans="2:13" ht="22.5" x14ac:dyDescent="0.6">
      <c r="B2" s="6" t="s">
        <v>15</v>
      </c>
    </row>
    <row r="3" spans="2:13" ht="22.5" x14ac:dyDescent="0.6">
      <c r="B3" s="6"/>
    </row>
    <row r="5" spans="2:13" x14ac:dyDescent="0.35">
      <c r="B5" s="7" t="s">
        <v>16</v>
      </c>
      <c r="C5" s="8">
        <v>46371</v>
      </c>
      <c r="E5" s="7" t="s">
        <v>17</v>
      </c>
      <c r="F5" s="35">
        <v>1.2</v>
      </c>
      <c r="G5" s="9" t="s">
        <v>18</v>
      </c>
    </row>
    <row r="6" spans="2:13" x14ac:dyDescent="0.35">
      <c r="B6" s="10" t="s">
        <v>19</v>
      </c>
      <c r="C6" s="11">
        <f>WORKDAY(C5, 1, 'Contracts &amp; Master Data'!$S$5:$S$16)</f>
        <v>46372</v>
      </c>
      <c r="E6" s="10" t="s">
        <v>20</v>
      </c>
      <c r="F6" s="11">
        <f>WORKDAY(C5, 1, 'Contracts &amp; Master Data'!$V$5:$V$20)</f>
        <v>46372</v>
      </c>
    </row>
    <row r="9" spans="2:13" ht="16.5" x14ac:dyDescent="0.45">
      <c r="B9" s="5" t="s">
        <v>21</v>
      </c>
    </row>
    <row r="11" spans="2:13" ht="56.15" customHeight="1" x14ac:dyDescent="0.35">
      <c r="B11" s="68" t="s">
        <v>142</v>
      </c>
      <c r="C11" s="38"/>
      <c r="D11" s="38"/>
      <c r="E11" s="41" t="s">
        <v>22</v>
      </c>
      <c r="F11" s="38"/>
      <c r="G11" s="38"/>
      <c r="H11" s="58" t="s">
        <v>143</v>
      </c>
      <c r="I11" s="38"/>
      <c r="J11" s="38"/>
      <c r="K11" s="66" t="s">
        <v>23</v>
      </c>
      <c r="L11" s="59"/>
      <c r="M11" s="59"/>
    </row>
    <row r="12" spans="2:13" ht="20" x14ac:dyDescent="0.35">
      <c r="B12" s="37">
        <f>MAX(0, SUMIF($C$45:$C$53, "CERT", $P$45:$P$53))</f>
        <v>419610</v>
      </c>
      <c r="C12" s="38"/>
      <c r="D12" s="38"/>
      <c r="E12" s="39">
        <f>MAX(0, SUMIF($C$45:$C$53, "GO", $P$45:$P$53))</f>
        <v>24505</v>
      </c>
      <c r="F12" s="38"/>
      <c r="G12" s="38"/>
      <c r="H12" s="40">
        <f>MAX(0, SUMIF($C$45:$C$53, "CERT_UK", $P$45:$P$53))</f>
        <v>0</v>
      </c>
      <c r="I12" s="38"/>
      <c r="J12" s="38"/>
      <c r="K12" s="67">
        <f>B12 + E12 + H12</f>
        <v>444115</v>
      </c>
      <c r="L12" s="59"/>
      <c r="M12" s="59"/>
    </row>
    <row r="16" spans="2:13" ht="16.5" x14ac:dyDescent="0.45">
      <c r="B16" s="5" t="s">
        <v>24</v>
      </c>
    </row>
    <row r="17" spans="2:18" x14ac:dyDescent="0.35">
      <c r="B17" s="69" t="s">
        <v>145</v>
      </c>
    </row>
    <row r="18" spans="2:18" ht="70" x14ac:dyDescent="0.35">
      <c r="B18" s="12" t="s">
        <v>25</v>
      </c>
      <c r="C18" s="12" t="s">
        <v>26</v>
      </c>
      <c r="D18" s="12" t="s">
        <v>27</v>
      </c>
      <c r="E18" s="12" t="s">
        <v>28</v>
      </c>
      <c r="F18" s="12" t="s">
        <v>29</v>
      </c>
      <c r="G18" s="12" t="s">
        <v>30</v>
      </c>
      <c r="H18" s="12" t="s">
        <v>31</v>
      </c>
      <c r="I18" s="12" t="s">
        <v>32</v>
      </c>
      <c r="J18" s="12" t="s">
        <v>33</v>
      </c>
      <c r="K18" s="12" t="s">
        <v>34</v>
      </c>
      <c r="L18" s="12" t="s">
        <v>35</v>
      </c>
      <c r="M18" s="12" t="s">
        <v>36</v>
      </c>
      <c r="N18" s="12" t="s">
        <v>37</v>
      </c>
      <c r="O18" s="12" t="s">
        <v>38</v>
      </c>
      <c r="P18" s="12" t="s">
        <v>39</v>
      </c>
      <c r="Q18" s="12" t="s">
        <v>40</v>
      </c>
      <c r="R18" s="12" t="s">
        <v>41</v>
      </c>
    </row>
    <row r="19" spans="2:18" x14ac:dyDescent="0.35">
      <c r="B19" s="13">
        <v>1</v>
      </c>
      <c r="C19" s="14" t="s">
        <v>42</v>
      </c>
      <c r="D19" s="15" t="str">
        <f>IF(C19="","",VLOOKUP(C19,'Contracts &amp; Master Data'!$A$4:$L$16,2,FALSE))</f>
        <v>EUA4</v>
      </c>
      <c r="E19" s="16" t="str">
        <f>IF(C19="","",VLOOKUP(C19,'Contracts &amp; Master Data'!$A$4:$L$16,4,FALSE))</f>
        <v>Spot</v>
      </c>
      <c r="F19" s="15" t="str">
        <f>IF(C19="","",VLOOKUP(C19,'Contracts &amp; Master Data'!$A$4:$L$16,6,FALSE))</f>
        <v>EUR</v>
      </c>
      <c r="G19" s="8">
        <v>46367</v>
      </c>
      <c r="H19" s="17" t="s">
        <v>43</v>
      </c>
      <c r="I19" s="11">
        <f>IF(C19="","", IF(E19="Spot", WORKDAY(G19, IF(OR(H19&gt;TIME(16,0,0), IF(ISERROR(TIMEVALUE(H19&amp;"")), FALSE, TIMEVALUE(H19&amp;"")&gt;TIME(16,0,0))), 2, 1), IF(F19="GBP", 'Contracts &amp; Master Data'!$V$5:$V$20, 'Contracts &amp; Master Data'!$S$5:$S$16)), VLOOKUP(C19,'Contracts &amp; Master Data'!$A$4:$L$16,11,FALSE)))</f>
        <v>46371</v>
      </c>
      <c r="J19" s="11">
        <f>IF(C19="","", IF(E19="Spot", I19, VLOOKUP(C19,'Contracts &amp; Master Data'!$A$4:$L$16,12,FALSE)))</f>
        <v>46371</v>
      </c>
      <c r="K19" s="14" t="s">
        <v>44</v>
      </c>
      <c r="L19" s="18">
        <v>10</v>
      </c>
      <c r="M19" s="19">
        <v>69.5</v>
      </c>
      <c r="N19" s="17" t="s">
        <v>45</v>
      </c>
      <c r="O19" s="20" t="str">
        <f>IF(C19="","", IF(AND(E19="Derivative", $C$5 &lt; VLOOKUP(C19,'Contracts &amp; Master Data'!$A$4:$L$16,10,FALSE)), "NOT RELEVANT (Active Derivative)", IF(I19 &gt; IF(F19="GBP", $F$6, $C$6), "RELEVANT (Unsettled)", IF(OR(N19="Delayed / Pending", J19 &gt; $C$5), "RELEVANT (Pending Delivery)", "NOT RELEVANT (Fully Settled)"))))</f>
        <v>NOT RELEVANT (Fully Settled)</v>
      </c>
      <c r="P19" s="21">
        <f>IF(O19="RELEVANT (Unsettled)", IF(K19="BUY", 1, -1) * L19 * VLOOKUP(C19,'Contracts &amp; Master Data'!$A$4:$L$16,7,FALSE) * M19, 0)</f>
        <v>0</v>
      </c>
      <c r="Q19" s="22">
        <f>IF(O19="RELEVANT (Unsettled)", IF(K19="BUY", 1, -1) * L19 * VLOOKUP(C19,'Contracts &amp; Master Data'!$A$4:$L$16,7,FALSE), 0)</f>
        <v>0</v>
      </c>
      <c r="R19" s="22">
        <f>IF(O19="RELEVANT (Pending Delivery)", IF(K19="BUY", 1, -1) * L19 * VLOOKUP(C19,'Contracts &amp; Master Data'!$A$4:$L$16,7,FALSE), 0)</f>
        <v>0</v>
      </c>
    </row>
    <row r="20" spans="2:18" x14ac:dyDescent="0.35">
      <c r="B20" s="13">
        <v>2</v>
      </c>
      <c r="C20" s="14" t="s">
        <v>42</v>
      </c>
      <c r="D20" s="15" t="str">
        <f>IF(C20="","",VLOOKUP(C20,'Contracts &amp; Master Data'!$A$4:$L$16,2,FALSE))</f>
        <v>EUA4</v>
      </c>
      <c r="E20" s="16" t="str">
        <f>IF(C20="","",VLOOKUP(C20,'Contracts &amp; Master Data'!$A$4:$L$16,4,FALSE))</f>
        <v>Spot</v>
      </c>
      <c r="F20" s="15" t="str">
        <f>IF(C20="","",VLOOKUP(C20,'Contracts &amp; Master Data'!$A$4:$L$16,6,FALSE))</f>
        <v>EUR</v>
      </c>
      <c r="G20" s="8">
        <v>46370</v>
      </c>
      <c r="H20" s="17" t="s">
        <v>46</v>
      </c>
      <c r="I20" s="11">
        <f>IF(C20="","", IF(E20="Spot", WORKDAY(G20, IF(OR(H20&gt;TIME(16,0,0), IF(ISERROR(TIMEVALUE(H20&amp;"")), FALSE, TIMEVALUE(H20&amp;"")&gt;TIME(16,0,0))), 2, 1), IF(F20="GBP", 'Contracts &amp; Master Data'!$V$5:$V$20, 'Contracts &amp; Master Data'!$S$5:$S$16)), VLOOKUP(C20,'Contracts &amp; Master Data'!$A$4:$L$16,11,FALSE)))</f>
        <v>46372</v>
      </c>
      <c r="J20" s="11">
        <f>IF(C20="","", IF(E20="Spot", I20, VLOOKUP(C20,'Contracts &amp; Master Data'!$A$4:$L$16,12,FALSE)))</f>
        <v>46372</v>
      </c>
      <c r="K20" s="14" t="s">
        <v>47</v>
      </c>
      <c r="L20" s="18">
        <v>5</v>
      </c>
      <c r="M20" s="19">
        <v>70</v>
      </c>
      <c r="N20" s="17" t="s">
        <v>48</v>
      </c>
      <c r="O20" s="20" t="str">
        <f>IF(C20="","", IF(AND(E20="Derivative", $C$5 &lt; VLOOKUP(C20,'Contracts &amp; Master Data'!$A$4:$L$16,10,FALSE)), "NOT RELEVANT (Active Derivative)", IF(I20 &gt; IF(F20="GBP", $F$6, $C$6), "RELEVANT (Unsettled)", IF(OR(N20="Delayed / Pending", J20 &gt; $C$5), "RELEVANT (Pending Delivery)", "NOT RELEVANT (Fully Settled)"))))</f>
        <v>RELEVANT (Pending Delivery)</v>
      </c>
      <c r="P20" s="21">
        <f>IF(O20="RELEVANT (Unsettled)", IF(K20="BUY", 1, -1) * L20 * VLOOKUP(C20,'Contracts &amp; Master Data'!$A$4:$L$16,7,FALSE) * M20, 0)</f>
        <v>0</v>
      </c>
      <c r="Q20" s="22">
        <f>IF(O20="RELEVANT (Unsettled)", IF(K20="BUY", 1, -1) * L20 * VLOOKUP(C20,'Contracts &amp; Master Data'!$A$4:$L$16,7,FALSE), 0)</f>
        <v>0</v>
      </c>
      <c r="R20" s="22">
        <f>IF(O20="RELEVANT (Pending Delivery)", IF(K20="BUY", 1, -1) * L20 * VLOOKUP(C20,'Contracts &amp; Master Data'!$A$4:$L$16,7,FALSE), 0)</f>
        <v>-5000</v>
      </c>
    </row>
    <row r="21" spans="2:18" x14ac:dyDescent="0.35">
      <c r="B21" s="13">
        <v>3</v>
      </c>
      <c r="C21" s="14" t="s">
        <v>42</v>
      </c>
      <c r="D21" s="15" t="str">
        <f>IF(C21="","",VLOOKUP(C21,'Contracts &amp; Master Data'!$A$4:$L$16,2,FALSE))</f>
        <v>EUA4</v>
      </c>
      <c r="E21" s="16" t="str">
        <f>IF(C21="","",VLOOKUP(C21,'Contracts &amp; Master Data'!$A$4:$L$16,4,FALSE))</f>
        <v>Spot</v>
      </c>
      <c r="F21" s="15" t="str">
        <f>IF(C21="","",VLOOKUP(C21,'Contracts &amp; Master Data'!$A$4:$L$16,6,FALSE))</f>
        <v>EUR</v>
      </c>
      <c r="G21" s="8">
        <v>46371</v>
      </c>
      <c r="H21" s="17" t="s">
        <v>49</v>
      </c>
      <c r="I21" s="11">
        <f>IF(C21="","", IF(E21="Spot", WORKDAY(G21, IF(OR(H21&gt;TIME(16,0,0), IF(ISERROR(TIMEVALUE(H21&amp;"")), FALSE, TIMEVALUE(H21&amp;"")&gt;TIME(16,0,0))), 2, 1), IF(F21="GBP", 'Contracts &amp; Master Data'!$V$5:$V$20, 'Contracts &amp; Master Data'!$S$5:$S$16)), VLOOKUP(C21,'Contracts &amp; Master Data'!$A$4:$L$16,11,FALSE)))</f>
        <v>46373</v>
      </c>
      <c r="J21" s="11">
        <f>IF(C21="","", IF(E21="Spot", I21, VLOOKUP(C21,'Contracts &amp; Master Data'!$A$4:$L$16,12,FALSE)))</f>
        <v>46373</v>
      </c>
      <c r="K21" s="14" t="s">
        <v>44</v>
      </c>
      <c r="L21" s="18">
        <v>10</v>
      </c>
      <c r="M21" s="19">
        <v>71</v>
      </c>
      <c r="N21" s="17" t="s">
        <v>45</v>
      </c>
      <c r="O21" s="20" t="str">
        <f>IF(C21="","", IF(AND(E21="Derivative", $C$5 &lt; VLOOKUP(C21,'Contracts &amp; Master Data'!$A$4:$L$16,10,FALSE)), "NOT RELEVANT (Active Derivative)", IF(I21 &gt; IF(F21="GBP", $F$6, $C$6), "RELEVANT (Unsettled)", IF(OR(N21="Delayed / Pending", J21 &gt; $C$5), "RELEVANT (Pending Delivery)", "NOT RELEVANT (Fully Settled)"))))</f>
        <v>RELEVANT (Unsettled)</v>
      </c>
      <c r="P21" s="21">
        <f>IF(O21="RELEVANT (Unsettled)", IF(K21="BUY", 1, -1) * L21 * VLOOKUP(C21,'Contracts &amp; Master Data'!$A$4:$L$16,7,FALSE) * M21, 0)</f>
        <v>710000</v>
      </c>
      <c r="Q21" s="22">
        <f>IF(O21="RELEVANT (Unsettled)", IF(K21="BUY", 1, -1) * L21 * VLOOKUP(C21,'Contracts &amp; Master Data'!$A$4:$L$16,7,FALSE), 0)</f>
        <v>10000</v>
      </c>
      <c r="R21" s="22">
        <f>IF(O21="RELEVANT (Pending Delivery)", IF(K21="BUY", 1, -1) * L21 * VLOOKUP(C21,'Contracts &amp; Master Data'!$A$4:$L$16,7,FALSE), 0)</f>
        <v>0</v>
      </c>
    </row>
    <row r="22" spans="2:18" x14ac:dyDescent="0.35">
      <c r="B22" s="13">
        <v>4</v>
      </c>
      <c r="C22" s="14" t="s">
        <v>50</v>
      </c>
      <c r="D22" s="15" t="str">
        <f>IF(C22="","",VLOOKUP(C22,'Contracts &amp; Master Data'!$A$4:$L$16,2,FALSE))</f>
        <v>EUA4</v>
      </c>
      <c r="E22" s="16" t="str">
        <f>IF(C22="","",VLOOKUP(C22,'Contracts &amp; Master Data'!$A$4:$L$16,4,FALSE))</f>
        <v>Derivative</v>
      </c>
      <c r="F22" s="15" t="str">
        <f>IF(C22="","",VLOOKUP(C22,'Contracts &amp; Master Data'!$A$4:$L$16,6,FALSE))</f>
        <v>EUR</v>
      </c>
      <c r="G22" s="8">
        <v>46370</v>
      </c>
      <c r="H22" s="17"/>
      <c r="I22" s="11">
        <f>IF(C22="","", IF(E22="Spot", WORKDAY(G22, IF(OR(H22&gt;TIME(16,0,0), IF(ISERROR(TIMEVALUE(H22&amp;"")), FALSE, TIMEVALUE(H22&amp;"")&gt;TIME(16,0,0))), 2, 1), IF(F22="GBP", 'Contracts &amp; Master Data'!$V$5:$V$20, 'Contracts &amp; Master Data'!$S$5:$S$16)), VLOOKUP(C22,'Contracts &amp; Master Data'!$A$4:$L$16,11,FALSE)))</f>
        <v>46372</v>
      </c>
      <c r="J22" s="11">
        <f>IF(C22="","", IF(E22="Spot", I22, VLOOKUP(C22,'Contracts &amp; Master Data'!$A$4:$L$16,12,FALSE)))</f>
        <v>46373</v>
      </c>
      <c r="K22" s="14" t="s">
        <v>47</v>
      </c>
      <c r="L22" s="18">
        <v>10</v>
      </c>
      <c r="M22" s="19">
        <v>72</v>
      </c>
      <c r="N22" s="17" t="s">
        <v>45</v>
      </c>
      <c r="O22" s="20" t="str">
        <f>IF(C22="","", IF(AND(E22="Derivative", $C$5 &lt; VLOOKUP(C22,'Contracts &amp; Master Data'!$A$4:$L$16,10,FALSE)), "NOT RELEVANT (Active Derivative)", IF(I22 &gt; IF(F22="GBP", $F$6, $C$6), "RELEVANT (Unsettled)", IF(OR(N22="Delayed / Pending", J22 &gt; $C$5), "RELEVANT (Pending Delivery)", "NOT RELEVANT (Fully Settled)"))))</f>
        <v>RELEVANT (Pending Delivery)</v>
      </c>
      <c r="P22" s="21">
        <f>IF(O22="RELEVANT (Unsettled)", IF(K22="BUY", 1, -1) * L22 * VLOOKUP(C22,'Contracts &amp; Master Data'!$A$4:$L$16,7,FALSE) * M22, 0)</f>
        <v>0</v>
      </c>
      <c r="Q22" s="22">
        <f>IF(O22="RELEVANT (Unsettled)", IF(K22="BUY", 1, -1) * L22 * VLOOKUP(C22,'Contracts &amp; Master Data'!$A$4:$L$16,7,FALSE), 0)</f>
        <v>0</v>
      </c>
      <c r="R22" s="22">
        <f>IF(O22="RELEVANT (Pending Delivery)", IF(K22="BUY", 1, -1) * L22 * VLOOKUP(C22,'Contracts &amp; Master Data'!$A$4:$L$16,7,FALSE), 0)</f>
        <v>-10000</v>
      </c>
    </row>
    <row r="23" spans="2:18" x14ac:dyDescent="0.35">
      <c r="B23" s="13">
        <v>5</v>
      </c>
      <c r="C23" s="14" t="s">
        <v>51</v>
      </c>
      <c r="D23" s="15" t="str">
        <f>IF(C23="","",VLOOKUP(C23,'Contracts &amp; Master Data'!$A$4:$L$16,2,FALSE))</f>
        <v>EUA4_UK</v>
      </c>
      <c r="E23" s="16" t="str">
        <f>IF(C23="","",VLOOKUP(C23,'Contracts &amp; Master Data'!$A$4:$L$16,4,FALSE))</f>
        <v>Derivative</v>
      </c>
      <c r="F23" s="15" t="str">
        <f>IF(C23="","",VLOOKUP(C23,'Contracts &amp; Master Data'!$A$4:$L$16,6,FALSE))</f>
        <v>GBP</v>
      </c>
      <c r="G23" s="8">
        <v>46370</v>
      </c>
      <c r="H23" s="17"/>
      <c r="I23" s="11">
        <f>IF(C23="","", IF(E23="Spot", WORKDAY(G23, IF(OR(H23&gt;TIME(16,0,0), IF(ISERROR(TIMEVALUE(H23&amp;"")), FALSE, TIMEVALUE(H23&amp;"")&gt;TIME(16,0,0))), 2, 1), IF(F23="GBP", 'Contracts &amp; Master Data'!$V$5:$V$20, 'Contracts &amp; Master Data'!$S$5:$S$16)), VLOOKUP(C23,'Contracts &amp; Master Data'!$A$4:$L$16,11,FALSE)))</f>
        <v>46372</v>
      </c>
      <c r="J23" s="11">
        <f>IF(C23="","", IF(E23="Spot", I23, VLOOKUP(C23,'Contracts &amp; Master Data'!$A$4:$L$16,12,FALSE)))</f>
        <v>46373</v>
      </c>
      <c r="K23" s="14" t="s">
        <v>47</v>
      </c>
      <c r="L23" s="18">
        <v>5</v>
      </c>
      <c r="M23" s="19">
        <v>45</v>
      </c>
      <c r="N23" s="17" t="s">
        <v>45</v>
      </c>
      <c r="O23" s="20" t="str">
        <f>IF(C23="","", IF(AND(E23="Derivative", $C$5 &lt; VLOOKUP(C23,'Contracts &amp; Master Data'!$A$4:$L$16,10,FALSE)), "NOT RELEVANT (Active Derivative)", IF(I23 &gt; IF(F23="GBP", $F$6, $C$6), "RELEVANT (Unsettled)", IF(OR(N23="Delayed / Pending", J23 &gt; $C$5), "RELEVANT (Pending Delivery)", "NOT RELEVANT (Fully Settled)"))))</f>
        <v>RELEVANT (Pending Delivery)</v>
      </c>
      <c r="P23" s="21">
        <f>IF(O23="RELEVANT (Unsettled)", IF(K23="BUY", 1, -1) * L23 * VLOOKUP(C23,'Contracts &amp; Master Data'!$A$4:$L$16,7,FALSE) * M23, 0)</f>
        <v>0</v>
      </c>
      <c r="Q23" s="22">
        <f>IF(O23="RELEVANT (Unsettled)", IF(K23="BUY", 1, -1) * L23 * VLOOKUP(C23,'Contracts &amp; Master Data'!$A$4:$L$16,7,FALSE), 0)</f>
        <v>0</v>
      </c>
      <c r="R23" s="22">
        <f>IF(O23="RELEVANT (Pending Delivery)", IF(K23="BUY", 1, -1) * L23 * VLOOKUP(C23,'Contracts &amp; Master Data'!$A$4:$L$16,7,FALSE), 0)</f>
        <v>-5000</v>
      </c>
    </row>
    <row r="24" spans="2:18" x14ac:dyDescent="0.35">
      <c r="B24" s="13">
        <v>6</v>
      </c>
      <c r="C24" s="14" t="s">
        <v>52</v>
      </c>
      <c r="D24" s="15" t="str">
        <f>IF(C24="","",VLOOKUP(C24,'Contracts &amp; Master Data'!$A$4:$L$16,2,FALSE))</f>
        <v>EUA4_UK</v>
      </c>
      <c r="E24" s="16" t="str">
        <f>IF(C24="","",VLOOKUP(C24,'Contracts &amp; Master Data'!$A$4:$L$16,4,FALSE))</f>
        <v>Spot</v>
      </c>
      <c r="F24" s="15" t="str">
        <f>IF(C24="","",VLOOKUP(C24,'Contracts &amp; Master Data'!$A$4:$L$16,6,FALSE))</f>
        <v>GBP</v>
      </c>
      <c r="G24" s="8">
        <v>46371</v>
      </c>
      <c r="H24" s="17" t="s">
        <v>53</v>
      </c>
      <c r="I24" s="11">
        <f>IF(C24="","", IF(E24="Spot", WORKDAY(G24, IF(OR(H24&gt;TIME(16,0,0), IF(ISERROR(TIMEVALUE(H24&amp;"")), FALSE, TIMEVALUE(H24&amp;"")&gt;TIME(16,0,0))), 2, 1), IF(F24="GBP", 'Contracts &amp; Master Data'!$V$5:$V$20, 'Contracts &amp; Master Data'!$S$5:$S$16)), VLOOKUP(C24,'Contracts &amp; Master Data'!$A$4:$L$16,11,FALSE)))</f>
        <v>46373</v>
      </c>
      <c r="J24" s="11">
        <f>IF(C24="","", IF(E24="Spot", I24, VLOOKUP(C24,'Contracts &amp; Master Data'!$A$4:$L$16,12,FALSE)))</f>
        <v>46373</v>
      </c>
      <c r="K24" s="14" t="s">
        <v>44</v>
      </c>
      <c r="L24" s="18">
        <v>8</v>
      </c>
      <c r="M24" s="19">
        <v>44.5</v>
      </c>
      <c r="N24" s="17" t="s">
        <v>45</v>
      </c>
      <c r="O24" s="20" t="str">
        <f>IF(C24="","", IF(AND(E24="Derivative", $C$5 &lt; VLOOKUP(C24,'Contracts &amp; Master Data'!$A$4:$L$16,10,FALSE)), "NOT RELEVANT (Active Derivative)", IF(I24 &gt; IF(F24="GBP", $F$6, $C$6), "RELEVANT (Unsettled)", IF(OR(N24="Delayed / Pending", J24 &gt; $C$5), "RELEVANT (Pending Delivery)", "NOT RELEVANT (Fully Settled)"))))</f>
        <v>RELEVANT (Unsettled)</v>
      </c>
      <c r="P24" s="21">
        <f>IF(O24="RELEVANT (Unsettled)", IF(K24="BUY", 1, -1) * L24 * VLOOKUP(C24,'Contracts &amp; Master Data'!$A$4:$L$16,7,FALSE) * M24, 0)</f>
        <v>356000</v>
      </c>
      <c r="Q24" s="22">
        <f>IF(O24="RELEVANT (Unsettled)", IF(K24="BUY", 1, -1) * L24 * VLOOKUP(C24,'Contracts &amp; Master Data'!$A$4:$L$16,7,FALSE), 0)</f>
        <v>8000</v>
      </c>
      <c r="R24" s="22">
        <f>IF(O24="RELEVANT (Pending Delivery)", IF(K24="BUY", 1, -1) * L24 * VLOOKUP(C24,'Contracts &amp; Master Data'!$A$4:$L$16,7,FALSE), 0)</f>
        <v>0</v>
      </c>
    </row>
    <row r="25" spans="2:18" x14ac:dyDescent="0.35">
      <c r="B25" s="13">
        <v>7</v>
      </c>
      <c r="C25" s="14" t="s">
        <v>54</v>
      </c>
      <c r="D25" s="15" t="str">
        <f>IF(C25="","",VLOOKUP(C25,'Contracts &amp; Master Data'!$A$4:$L$16,2,FALSE))</f>
        <v>ETS2</v>
      </c>
      <c r="E25" s="16" t="str">
        <f>IF(C25="","",VLOOKUP(C25,'Contracts &amp; Master Data'!$A$4:$L$16,4,FALSE))</f>
        <v>Derivative</v>
      </c>
      <c r="F25" s="15" t="str">
        <f>IF(C25="","",VLOOKUP(C25,'Contracts &amp; Master Data'!$A$4:$L$16,6,FALSE))</f>
        <v>EUR</v>
      </c>
      <c r="G25" s="8">
        <v>46734</v>
      </c>
      <c r="H25" s="17"/>
      <c r="I25" s="11">
        <f>IF(C25="","", IF(E25="Spot", WORKDAY(G25, IF(OR(H25&gt;TIME(16,0,0), IF(ISERROR(TIMEVALUE(H25&amp;"")), FALSE, TIMEVALUE(H25&amp;"")&gt;TIME(16,0,0))), 2, 1), IF(F25="GBP", 'Contracts &amp; Master Data'!$V$5:$V$20, 'Contracts &amp; Master Data'!$S$5:$S$16)), VLOOKUP(C25,'Contracts &amp; Master Data'!$A$4:$L$16,11,FALSE)))</f>
        <v>46736</v>
      </c>
      <c r="J25" s="11">
        <f>IF(C25="","", IF(E25="Spot", I25, VLOOKUP(C25,'Contracts &amp; Master Data'!$A$4:$L$16,12,FALSE)))</f>
        <v>46737</v>
      </c>
      <c r="K25" s="14" t="s">
        <v>44</v>
      </c>
      <c r="L25" s="18">
        <v>5</v>
      </c>
      <c r="M25" s="19">
        <v>65</v>
      </c>
      <c r="N25" s="17" t="s">
        <v>45</v>
      </c>
      <c r="O25" s="20" t="str">
        <f>IF(C25="","", IF(AND(E25="Derivative", $C$5 &lt; VLOOKUP(C25,'Contracts &amp; Master Data'!$A$4:$L$16,10,FALSE)), "NOT RELEVANT (Active Derivative)", IF(I25 &gt; IF(F25="GBP", $F$6, $C$6), "RELEVANT (Unsettled)", IF(OR(N25="Delayed / Pending", J25 &gt; $C$5), "RELEVANT (Pending Delivery)", "NOT RELEVANT (Fully Settled)"))))</f>
        <v>NOT RELEVANT (Active Derivative)</v>
      </c>
      <c r="P25" s="21">
        <f>IF(O25="RELEVANT (Unsettled)", IF(K25="BUY", 1, -1) * L25 * VLOOKUP(C25,'Contracts &amp; Master Data'!$A$4:$L$16,7,FALSE) * M25, 0)</f>
        <v>0</v>
      </c>
      <c r="Q25" s="22">
        <f>IF(O25="RELEVANT (Unsettled)", IF(K25="BUY", 1, -1) * L25 * VLOOKUP(C25,'Contracts &amp; Master Data'!$A$4:$L$16,7,FALSE), 0)</f>
        <v>0</v>
      </c>
      <c r="R25" s="22">
        <f>IF(O25="RELEVANT (Pending Delivery)", IF(K25="BUY", 1, -1) * L25 * VLOOKUP(C25,'Contracts &amp; Master Data'!$A$4:$L$16,7,FALSE), 0)</f>
        <v>0</v>
      </c>
    </row>
    <row r="26" spans="2:18" x14ac:dyDescent="0.35">
      <c r="B26" s="13">
        <v>8</v>
      </c>
      <c r="C26" s="14" t="s">
        <v>55</v>
      </c>
      <c r="D26" s="15" t="str">
        <f>IF(C26="","",VLOOKUP(C26,'Contracts &amp; Master Data'!$A$4:$L$16,2,FALSE))</f>
        <v>GO_WIN</v>
      </c>
      <c r="E26" s="16" t="str">
        <f>IF(C26="","",VLOOKUP(C26,'Contracts &amp; Master Data'!$A$4:$L$16,4,FALSE))</f>
        <v>Derivative</v>
      </c>
      <c r="F26" s="15" t="str">
        <f>IF(C26="","",VLOOKUP(C26,'Contracts &amp; Master Data'!$A$4:$L$16,6,FALSE))</f>
        <v>EUR</v>
      </c>
      <c r="G26" s="8">
        <v>46370</v>
      </c>
      <c r="H26" s="17"/>
      <c r="I26" s="11">
        <f>IF(C26="","", IF(E26="Spot", WORKDAY(G26, IF(OR(H26&gt;TIME(16,0,0), IF(ISERROR(TIMEVALUE(H26&amp;"")), FALSE, TIMEVALUE(H26&amp;"")&gt;TIME(16,0,0))), 2, 1), IF(F26="GBP", 'Contracts &amp; Master Data'!$V$5:$V$20, 'Contracts &amp; Master Data'!$S$5:$S$16)), VLOOKUP(C26,'Contracts &amp; Master Data'!$A$4:$L$16,11,FALSE)))</f>
        <v>46372</v>
      </c>
      <c r="J26" s="11">
        <f>IF(C26="","", IF(E26="Spot", I26, VLOOKUP(C26,'Contracts &amp; Master Data'!$A$4:$L$16,12,FALSE)))</f>
        <v>46373</v>
      </c>
      <c r="K26" s="14" t="s">
        <v>44</v>
      </c>
      <c r="L26" s="18">
        <v>20</v>
      </c>
      <c r="M26" s="19">
        <v>1.4</v>
      </c>
      <c r="N26" s="17" t="s">
        <v>45</v>
      </c>
      <c r="O26" s="20" t="str">
        <f>IF(C26="","", IF(AND(E26="Derivative", $C$5 &lt; VLOOKUP(C26,'Contracts &amp; Master Data'!$A$4:$L$16,10,FALSE)), "NOT RELEVANT (Active Derivative)", IF(I26 &gt; IF(F26="GBP", $F$6, $C$6), "RELEVANT (Unsettled)", IF(OR(N26="Delayed / Pending", J26 &gt; $C$5), "RELEVANT (Pending Delivery)", "NOT RELEVANT (Fully Settled)"))))</f>
        <v>RELEVANT (Pending Delivery)</v>
      </c>
      <c r="P26" s="21">
        <f>IF(O26="RELEVANT (Unsettled)", IF(K26="BUY", 1, -1) * L26 * VLOOKUP(C26,'Contracts &amp; Master Data'!$A$4:$L$16,7,FALSE) * M26, 0)</f>
        <v>0</v>
      </c>
      <c r="Q26" s="22">
        <f>IF(O26="RELEVANT (Unsettled)", IF(K26="BUY", 1, -1) * L26 * VLOOKUP(C26,'Contracts &amp; Master Data'!$A$4:$L$16,7,FALSE), 0)</f>
        <v>0</v>
      </c>
      <c r="R26" s="22">
        <f>IF(O26="RELEVANT (Pending Delivery)", IF(K26="BUY", 1, -1) * L26 * VLOOKUP(C26,'Contracts &amp; Master Data'!$A$4:$L$16,7,FALSE), 0)</f>
        <v>20000</v>
      </c>
    </row>
    <row r="27" spans="2:18" x14ac:dyDescent="0.35">
      <c r="B27" s="13">
        <v>9</v>
      </c>
      <c r="C27" s="14" t="s">
        <v>56</v>
      </c>
      <c r="D27" s="15" t="str">
        <f>IF(C27="","",VLOOKUP(C27,'Contracts &amp; Master Data'!$A$4:$L$16,2,FALSE))</f>
        <v>GO_SOL</v>
      </c>
      <c r="E27" s="16" t="str">
        <f>IF(C27="","",VLOOKUP(C27,'Contracts &amp; Master Data'!$A$4:$L$16,4,FALSE))</f>
        <v>Derivative</v>
      </c>
      <c r="F27" s="15" t="str">
        <f>IF(C27="","",VLOOKUP(C27,'Contracts &amp; Master Data'!$A$4:$L$16,6,FALSE))</f>
        <v>EUR</v>
      </c>
      <c r="G27" s="8">
        <v>46370</v>
      </c>
      <c r="H27" s="17"/>
      <c r="I27" s="11">
        <f>IF(C27="","", IF(E27="Spot", WORKDAY(G27, IF(OR(H27&gt;TIME(16,0,0), IF(ISERROR(TIMEVALUE(H27&amp;"")), FALSE, TIMEVALUE(H27&amp;"")&gt;TIME(16,0,0))), 2, 1), IF(F27="GBP", 'Contracts &amp; Master Data'!$V$5:$V$20, 'Contracts &amp; Master Data'!$S$5:$S$16)), VLOOKUP(C27,'Contracts &amp; Master Data'!$A$4:$L$16,11,FALSE)))</f>
        <v>46372</v>
      </c>
      <c r="J27" s="11">
        <f>IF(C27="","", IF(E27="Spot", I27, VLOOKUP(C27,'Contracts &amp; Master Data'!$A$4:$L$16,12,FALSE)))</f>
        <v>46373</v>
      </c>
      <c r="K27" s="14" t="s">
        <v>47</v>
      </c>
      <c r="L27" s="18">
        <v>15</v>
      </c>
      <c r="M27" s="19">
        <v>1.3</v>
      </c>
      <c r="N27" s="17" t="s">
        <v>45</v>
      </c>
      <c r="O27" s="20" t="str">
        <f>IF(C27="","", IF(AND(E27="Derivative", $C$5 &lt; VLOOKUP(C27,'Contracts &amp; Master Data'!$A$4:$L$16,10,FALSE)), "NOT RELEVANT (Active Derivative)", IF(I27 &gt; IF(F27="GBP", $F$6, $C$6), "RELEVANT (Unsettled)", IF(OR(N27="Delayed / Pending", J27 &gt; $C$5), "RELEVANT (Pending Delivery)", "NOT RELEVANT (Fully Settled)"))))</f>
        <v>RELEVANT (Pending Delivery)</v>
      </c>
      <c r="P27" s="21">
        <f>IF(O27="RELEVANT (Unsettled)", IF(K27="BUY", 1, -1) * L27 * VLOOKUP(C27,'Contracts &amp; Master Data'!$A$4:$L$16,7,FALSE) * M27, 0)</f>
        <v>0</v>
      </c>
      <c r="Q27" s="22">
        <f>IF(O27="RELEVANT (Unsettled)", IF(K27="BUY", 1, -1) * L27 * VLOOKUP(C27,'Contracts &amp; Master Data'!$A$4:$L$16,7,FALSE), 0)</f>
        <v>0</v>
      </c>
      <c r="R27" s="22">
        <f>IF(O27="RELEVANT (Pending Delivery)", IF(K27="BUY", 1, -1) * L27 * VLOOKUP(C27,'Contracts &amp; Master Data'!$A$4:$L$16,7,FALSE), 0)</f>
        <v>-15000</v>
      </c>
    </row>
    <row r="28" spans="2:18" x14ac:dyDescent="0.35">
      <c r="B28" s="13">
        <v>10</v>
      </c>
      <c r="C28" s="14" t="s">
        <v>141</v>
      </c>
      <c r="D28" s="15" t="str">
        <f>IF(C28="","",VLOOKUP(C28,'Contracts &amp; Master Data'!$A$4:$L$16,2,FALSE))</f>
        <v>CGFR</v>
      </c>
      <c r="E28" s="16" t="str">
        <f>IF(C28="","",VLOOKUP(C28,'Contracts &amp; Master Data'!$A$4:$L$16,4,FALSE))</f>
        <v>Spot</v>
      </c>
      <c r="F28" s="15" t="str">
        <f>IF(C28="","",VLOOKUP(C28,'Contracts &amp; Master Data'!$A$4:$L$16,6,FALSE))</f>
        <v>EUR</v>
      </c>
      <c r="G28" s="8">
        <v>46371</v>
      </c>
      <c r="H28" s="70">
        <v>0.45833333333333331</v>
      </c>
      <c r="I28" s="11">
        <f>IF(C28="","", IF(E28="Spot", WORKDAY(G28, IF(OR(H28&gt;TIME(16,0,0), IF(ISERROR(TIMEVALUE(H28&amp;"")), FALSE, TIMEVALUE(H28&amp;"")&gt;TIME(16,0,0))), 2, 1), IF(F28="GBP", 'Contracts &amp; Master Data'!$V$5:$V$20, 'Contracts &amp; Master Data'!$S$5:$S$16)), VLOOKUP(C28,'Contracts &amp; Master Data'!$A$4:$L$16,11,FALSE)))</f>
        <v>46372</v>
      </c>
      <c r="J28" s="11">
        <f>IF(C28="","", IF(E28="Spot", I28, VLOOKUP(C28,'Contracts &amp; Master Data'!$A$4:$L$16,12,FALSE)))</f>
        <v>46372</v>
      </c>
      <c r="K28" s="14" t="s">
        <v>44</v>
      </c>
      <c r="L28" s="18">
        <v>5</v>
      </c>
      <c r="M28" s="19">
        <v>6000</v>
      </c>
      <c r="N28" s="17" t="s">
        <v>45</v>
      </c>
      <c r="O28" s="20" t="str">
        <f>IF(C28="","", IF(AND(E28="Derivative", $C$5 &lt; VLOOKUP(C28,'Contracts &amp; Master Data'!$A$4:$L$16,10,FALSE)), "NOT RELEVANT (Active Derivative)", IF(I28 &gt; IF(F28="GBP", $F$6, $C$6), "RELEVANT (Unsettled)", IF(OR(N28="Delayed / Pending", J28 &gt; $C$5), "RELEVANT (Pending Delivery)", "NOT RELEVANT (Fully Settled)"))))</f>
        <v>RELEVANT (Pending Delivery)</v>
      </c>
      <c r="P28" s="21">
        <f>IF(O28="RELEVANT (Unsettled)", IF(K28="BUY", 1, -1) * L28 * VLOOKUP(C28,'Contracts &amp; Master Data'!$A$4:$L$16,7,FALSE) * M28, 0)</f>
        <v>0</v>
      </c>
      <c r="Q28" s="22">
        <f>IF(O28="RELEVANT (Unsettled)", IF(K28="BUY", 1, -1) * L28 * VLOOKUP(C28,'Contracts &amp; Master Data'!$A$4:$L$16,7,FALSE), 0)</f>
        <v>0</v>
      </c>
      <c r="R28" s="22">
        <f>IF(O28="RELEVANT (Pending Delivery)", IF(K28="BUY", 1, -1) * L28 * VLOOKUP(C28,'Contracts &amp; Master Data'!$A$4:$L$16,7,FALSE), 0)</f>
        <v>5</v>
      </c>
    </row>
    <row r="29" spans="2:18" x14ac:dyDescent="0.35">
      <c r="B29" s="13">
        <v>11</v>
      </c>
      <c r="C29" s="14"/>
      <c r="D29" s="15" t="str">
        <f>IF(C29="","",VLOOKUP(C29,'Contracts &amp; Master Data'!$A$4:$L$16,2,FALSE))</f>
        <v/>
      </c>
      <c r="E29" s="16" t="str">
        <f>IF(C29="","",VLOOKUP(C29,'Contracts &amp; Master Data'!$A$4:$L$16,4,FALSE))</f>
        <v/>
      </c>
      <c r="F29" s="15" t="str">
        <f>IF(C29="","",VLOOKUP(C29,'Contracts &amp; Master Data'!$A$4:$L$16,6,FALSE))</f>
        <v/>
      </c>
      <c r="G29" s="8"/>
      <c r="H29" s="17"/>
      <c r="I29" s="11" t="str">
        <f>IF(C29="","", IF(E29="Spot", WORKDAY(G29, IF(OR(H29&gt;TIME(16,0,0), IF(ISERROR(TIMEVALUE(H29&amp;"")), FALSE, TIMEVALUE(H29&amp;"")&gt;TIME(16,0,0))), 2, 1), IF(F29="GBP", 'Contracts &amp; Master Data'!$V$5:$V$20, 'Contracts &amp; Master Data'!$S$5:$S$16)), VLOOKUP(C29,'Contracts &amp; Master Data'!$A$4:$L$16,11,FALSE)))</f>
        <v/>
      </c>
      <c r="J29" s="11" t="str">
        <f>IF(C29="","", IF(E29="Spot", I29, VLOOKUP(C29,'Contracts &amp; Master Data'!$A$4:$L$16,12,FALSE)))</f>
        <v/>
      </c>
      <c r="K29" s="14"/>
      <c r="L29" s="18"/>
      <c r="M29" s="19"/>
      <c r="N29" s="17" t="s">
        <v>45</v>
      </c>
      <c r="O29" s="20" t="str">
        <f>IF(C29="","", IF(AND(E29="Derivative", $C$5 &lt; VLOOKUP(C29,'Contracts &amp; Master Data'!$A$4:$L$16,10,FALSE)), "NOT RELEVANT (Active Derivative)", IF(I29 &gt; IF(F29="GBP", $F$6, $C$6), "RELEVANT (Unsettled)", IF(OR(N29="Delayed / Pending", J29 &gt; $C$5), "RELEVANT (Pending Delivery)", "NOT RELEVANT (Fully Settled)"))))</f>
        <v/>
      </c>
      <c r="P29" s="21">
        <f>IF(O29="RELEVANT (Unsettled)", IF(K29="BUY", 1, -1) * L29 * VLOOKUP(C29,'Contracts &amp; Master Data'!$A$4:$L$16,7,FALSE) * M29, 0)</f>
        <v>0</v>
      </c>
      <c r="Q29" s="22">
        <f>IF(O29="RELEVANT (Unsettled)", IF(K29="BUY", 1, -1) * L29 * VLOOKUP(C29,'Contracts &amp; Master Data'!$A$4:$L$16,7,FALSE), 0)</f>
        <v>0</v>
      </c>
      <c r="R29" s="22">
        <f>IF(O29="RELEVANT (Pending Delivery)", IF(K29="BUY", 1, -1) * L29 * VLOOKUP(C29,'Contracts &amp; Master Data'!$A$4:$L$16,7,FALSE), 0)</f>
        <v>0</v>
      </c>
    </row>
    <row r="30" spans="2:18" x14ac:dyDescent="0.35">
      <c r="B30" s="13">
        <v>12</v>
      </c>
      <c r="C30" s="14"/>
      <c r="D30" s="15" t="str">
        <f>IF(C30="","",VLOOKUP(C30,'Contracts &amp; Master Data'!$A$4:$L$16,2,FALSE))</f>
        <v/>
      </c>
      <c r="E30" s="16" t="str">
        <f>IF(C30="","",VLOOKUP(C30,'Contracts &amp; Master Data'!$A$4:$L$16,4,FALSE))</f>
        <v/>
      </c>
      <c r="F30" s="15" t="str">
        <f>IF(C30="","",VLOOKUP(C30,'Contracts &amp; Master Data'!$A$4:$L$16,6,FALSE))</f>
        <v/>
      </c>
      <c r="G30" s="8"/>
      <c r="H30" s="17"/>
      <c r="I30" s="11" t="str">
        <f>IF(C30="","", IF(E30="Spot", WORKDAY(G30, IF(OR(H30&gt;TIME(16,0,0), IF(ISERROR(TIMEVALUE(H30&amp;"")), FALSE, TIMEVALUE(H30&amp;"")&gt;TIME(16,0,0))), 2, 1), IF(F30="GBP", 'Contracts &amp; Master Data'!$V$5:$V$20, 'Contracts &amp; Master Data'!$S$5:$S$16)), VLOOKUP(C30,'Contracts &amp; Master Data'!$A$4:$L$16,11,FALSE)))</f>
        <v/>
      </c>
      <c r="J30" s="11" t="str">
        <f>IF(C30="","", IF(E30="Spot", I30, VLOOKUP(C30,'Contracts &amp; Master Data'!$A$4:$L$16,12,FALSE)))</f>
        <v/>
      </c>
      <c r="K30" s="14"/>
      <c r="L30" s="18"/>
      <c r="M30" s="19"/>
      <c r="N30" s="17" t="s">
        <v>45</v>
      </c>
      <c r="O30" s="20" t="str">
        <f>IF(C30="","", IF(AND(E30="Derivative", $C$5 &lt; VLOOKUP(C30,'Contracts &amp; Master Data'!$A$4:$L$16,10,FALSE)), "NOT RELEVANT (Active Derivative)", IF(I30 &gt; IF(F30="GBP", $F$6, $C$6), "RELEVANT (Unsettled)", IF(OR(N30="Delayed / Pending", J30 &gt; $C$5), "RELEVANT (Pending Delivery)", "NOT RELEVANT (Fully Settled)"))))</f>
        <v/>
      </c>
      <c r="P30" s="21">
        <f>IF(O30="RELEVANT (Unsettled)", IF(K30="BUY", 1, -1) * L30 * VLOOKUP(C30,'Contracts &amp; Master Data'!$A$4:$L$16,7,FALSE) * M30, 0)</f>
        <v>0</v>
      </c>
      <c r="Q30" s="22">
        <f>IF(O30="RELEVANT (Unsettled)", IF(K30="BUY", 1, -1) * L30 * VLOOKUP(C30,'Contracts &amp; Master Data'!$A$4:$L$16,7,FALSE), 0)</f>
        <v>0</v>
      </c>
      <c r="R30" s="22">
        <f>IF(O30="RELEVANT (Pending Delivery)", IF(K30="BUY", 1, -1) * L30 * VLOOKUP(C30,'Contracts &amp; Master Data'!$A$4:$L$16,7,FALSE), 0)</f>
        <v>0</v>
      </c>
    </row>
    <row r="31" spans="2:18" x14ac:dyDescent="0.35">
      <c r="B31" s="13">
        <v>13</v>
      </c>
      <c r="C31" s="14"/>
      <c r="D31" s="15" t="str">
        <f>IF(C31="","",VLOOKUP(C31,'Contracts &amp; Master Data'!$A$4:$L$16,2,FALSE))</f>
        <v/>
      </c>
      <c r="E31" s="16" t="str">
        <f>IF(C31="","",VLOOKUP(C31,'Contracts &amp; Master Data'!$A$4:$L$16,4,FALSE))</f>
        <v/>
      </c>
      <c r="F31" s="15" t="str">
        <f>IF(C31="","",VLOOKUP(C31,'Contracts &amp; Master Data'!$A$4:$L$16,6,FALSE))</f>
        <v/>
      </c>
      <c r="G31" s="8"/>
      <c r="H31" s="17"/>
      <c r="I31" s="11" t="str">
        <f>IF(C31="","", IF(E31="Spot", WORKDAY(G31, IF(OR(H31&gt;TIME(16,0,0), IF(ISERROR(TIMEVALUE(H31&amp;"")), FALSE, TIMEVALUE(H31&amp;"")&gt;TIME(16,0,0))), 2, 1), IF(F31="GBP", 'Contracts &amp; Master Data'!$V$5:$V$20, 'Contracts &amp; Master Data'!$S$5:$S$16)), VLOOKUP(C31,'Contracts &amp; Master Data'!$A$4:$L$16,11,FALSE)))</f>
        <v/>
      </c>
      <c r="J31" s="11" t="str">
        <f>IF(C31="","", IF(E31="Spot", I31, VLOOKUP(C31,'Contracts &amp; Master Data'!$A$4:$L$16,12,FALSE)))</f>
        <v/>
      </c>
      <c r="K31" s="14"/>
      <c r="L31" s="18"/>
      <c r="M31" s="19"/>
      <c r="N31" s="17" t="s">
        <v>45</v>
      </c>
      <c r="O31" s="20" t="str">
        <f>IF(C31="","", IF(AND(E31="Derivative", $C$5 &lt; VLOOKUP(C31,'Contracts &amp; Master Data'!$A$4:$L$16,10,FALSE)), "NOT RELEVANT (Active Derivative)", IF(I31 &gt; IF(F31="GBP", $F$6, $C$6), "RELEVANT (Unsettled)", IF(OR(N31="Delayed / Pending", J31 &gt; $C$5), "RELEVANT (Pending Delivery)", "NOT RELEVANT (Fully Settled)"))))</f>
        <v/>
      </c>
      <c r="P31" s="21">
        <f>IF(O31="RELEVANT (Unsettled)", IF(K31="BUY", 1, -1) * L31 * VLOOKUP(C31,'Contracts &amp; Master Data'!$A$4:$L$16,7,FALSE) * M31, 0)</f>
        <v>0</v>
      </c>
      <c r="Q31" s="22">
        <f>IF(O31="RELEVANT (Unsettled)", IF(K31="BUY", 1, -1) * L31 * VLOOKUP(C31,'Contracts &amp; Master Data'!$A$4:$L$16,7,FALSE), 0)</f>
        <v>0</v>
      </c>
      <c r="R31" s="22">
        <f>IF(O31="RELEVANT (Pending Delivery)", IF(K31="BUY", 1, -1) * L31 * VLOOKUP(C31,'Contracts &amp; Master Data'!$A$4:$L$16,7,FALSE), 0)</f>
        <v>0</v>
      </c>
    </row>
    <row r="32" spans="2:18" x14ac:dyDescent="0.35">
      <c r="B32" s="13">
        <v>14</v>
      </c>
      <c r="C32" s="14"/>
      <c r="D32" s="15" t="str">
        <f>IF(C32="","",VLOOKUP(C32,'Contracts &amp; Master Data'!$A$4:$L$16,2,FALSE))</f>
        <v/>
      </c>
      <c r="E32" s="16" t="str">
        <f>IF(C32="","",VLOOKUP(C32,'Contracts &amp; Master Data'!$A$4:$L$16,4,FALSE))</f>
        <v/>
      </c>
      <c r="F32" s="15" t="str">
        <f>IF(C32="","",VLOOKUP(C32,'Contracts &amp; Master Data'!$A$4:$L$16,6,FALSE))</f>
        <v/>
      </c>
      <c r="G32" s="8"/>
      <c r="H32" s="17"/>
      <c r="I32" s="11" t="str">
        <f>IF(C32="","", IF(E32="Spot", WORKDAY(G32, IF(OR(H32&gt;TIME(16,0,0), IF(ISERROR(TIMEVALUE(H32&amp;"")), FALSE, TIMEVALUE(H32&amp;"")&gt;TIME(16,0,0))), 2, 1), IF(F32="GBP", 'Contracts &amp; Master Data'!$V$5:$V$20, 'Contracts &amp; Master Data'!$S$5:$S$16)), VLOOKUP(C32,'Contracts &amp; Master Data'!$A$4:$L$16,11,FALSE)))</f>
        <v/>
      </c>
      <c r="J32" s="11" t="str">
        <f>IF(C32="","", IF(E32="Spot", I32, VLOOKUP(C32,'Contracts &amp; Master Data'!$A$4:$L$16,12,FALSE)))</f>
        <v/>
      </c>
      <c r="K32" s="14"/>
      <c r="L32" s="18"/>
      <c r="M32" s="19"/>
      <c r="N32" s="17" t="s">
        <v>45</v>
      </c>
      <c r="O32" s="20" t="str">
        <f>IF(C32="","", IF(AND(E32="Derivative", $C$5 &lt; VLOOKUP(C32,'Contracts &amp; Master Data'!$A$4:$L$16,10,FALSE)), "NOT RELEVANT (Active Derivative)", IF(I32 &gt; IF(F32="GBP", $F$6, $C$6), "RELEVANT (Unsettled)", IF(OR(N32="Delayed / Pending", J32 &gt; $C$5), "RELEVANT (Pending Delivery)", "NOT RELEVANT (Fully Settled)"))))</f>
        <v/>
      </c>
      <c r="P32" s="21">
        <f>IF(O32="RELEVANT (Unsettled)", IF(K32="BUY", 1, -1) * L32 * VLOOKUP(C32,'Contracts &amp; Master Data'!$A$4:$L$16,7,FALSE) * M32, 0)</f>
        <v>0</v>
      </c>
      <c r="Q32" s="22">
        <f>IF(O32="RELEVANT (Unsettled)", IF(K32="BUY", 1, -1) * L32 * VLOOKUP(C32,'Contracts &amp; Master Data'!$A$4:$L$16,7,FALSE), 0)</f>
        <v>0</v>
      </c>
      <c r="R32" s="22">
        <f>IF(O32="RELEVANT (Pending Delivery)", IF(K32="BUY", 1, -1) * L32 * VLOOKUP(C32,'Contracts &amp; Master Data'!$A$4:$L$16,7,FALSE), 0)</f>
        <v>0</v>
      </c>
    </row>
    <row r="33" spans="2:18" x14ac:dyDescent="0.35">
      <c r="B33" s="13">
        <v>15</v>
      </c>
      <c r="C33" s="14"/>
      <c r="D33" s="15" t="str">
        <f>IF(C33="","",VLOOKUP(C33,'Contracts &amp; Master Data'!$A$4:$L$16,2,FALSE))</f>
        <v/>
      </c>
      <c r="E33" s="16" t="str">
        <f>IF(C33="","",VLOOKUP(C33,'Contracts &amp; Master Data'!$A$4:$L$16,4,FALSE))</f>
        <v/>
      </c>
      <c r="F33" s="15" t="str">
        <f>IF(C33="","",VLOOKUP(C33,'Contracts &amp; Master Data'!$A$4:$L$16,6,FALSE))</f>
        <v/>
      </c>
      <c r="G33" s="8"/>
      <c r="H33" s="17"/>
      <c r="I33" s="11" t="str">
        <f>IF(C33="","", IF(E33="Spot", WORKDAY(G33, IF(OR(H33&gt;TIME(16,0,0), IF(ISERROR(TIMEVALUE(H33&amp;"")), FALSE, TIMEVALUE(H33&amp;"")&gt;TIME(16,0,0))), 2, 1), IF(F33="GBP", 'Contracts &amp; Master Data'!$V$5:$V$20, 'Contracts &amp; Master Data'!$S$5:$S$16)), VLOOKUP(C33,'Contracts &amp; Master Data'!$A$4:$L$16,11,FALSE)))</f>
        <v/>
      </c>
      <c r="J33" s="11" t="str">
        <f>IF(C33="","", IF(E33="Spot", I33, VLOOKUP(C33,'Contracts &amp; Master Data'!$A$4:$L$16,12,FALSE)))</f>
        <v/>
      </c>
      <c r="K33" s="14"/>
      <c r="L33" s="18"/>
      <c r="M33" s="19"/>
      <c r="N33" s="17" t="s">
        <v>45</v>
      </c>
      <c r="O33" s="20" t="str">
        <f>IF(C33="","", IF(AND(E33="Derivative", $C$5 &lt; VLOOKUP(C33,'Contracts &amp; Master Data'!$A$4:$L$16,10,FALSE)), "NOT RELEVANT (Active Derivative)", IF(I33 &gt; IF(F33="GBP", $F$6, $C$6), "RELEVANT (Unsettled)", IF(OR(N33="Delayed / Pending", J33 &gt; $C$5), "RELEVANT (Pending Delivery)", "NOT RELEVANT (Fully Settled)"))))</f>
        <v/>
      </c>
      <c r="P33" s="21">
        <f>IF(O33="RELEVANT (Unsettled)", IF(K33="BUY", 1, -1) * L33 * VLOOKUP(C33,'Contracts &amp; Master Data'!$A$4:$L$16,7,FALSE) * M33, 0)</f>
        <v>0</v>
      </c>
      <c r="Q33" s="22">
        <f>IF(O33="RELEVANT (Unsettled)", IF(K33="BUY", 1, -1) * L33 * VLOOKUP(C33,'Contracts &amp; Master Data'!$A$4:$L$16,7,FALSE), 0)</f>
        <v>0</v>
      </c>
      <c r="R33" s="22">
        <f>IF(O33="RELEVANT (Pending Delivery)", IF(K33="BUY", 1, -1) * L33 * VLOOKUP(C33,'Contracts &amp; Master Data'!$A$4:$L$16,7,FALSE), 0)</f>
        <v>0</v>
      </c>
    </row>
    <row r="34" spans="2:18" x14ac:dyDescent="0.35">
      <c r="B34" s="13">
        <v>16</v>
      </c>
      <c r="C34" s="14"/>
      <c r="D34" s="15" t="str">
        <f>IF(C34="","",VLOOKUP(C34,'Contracts &amp; Master Data'!$A$4:$L$16,2,FALSE))</f>
        <v/>
      </c>
      <c r="E34" s="16" t="str">
        <f>IF(C34="","",VLOOKUP(C34,'Contracts &amp; Master Data'!$A$4:$L$16,4,FALSE))</f>
        <v/>
      </c>
      <c r="F34" s="15" t="str">
        <f>IF(C34="","",VLOOKUP(C34,'Contracts &amp; Master Data'!$A$4:$L$16,6,FALSE))</f>
        <v/>
      </c>
      <c r="G34" s="8"/>
      <c r="H34" s="17"/>
      <c r="I34" s="11" t="str">
        <f>IF(C34="","", IF(E34="Spot", WORKDAY(G34, IF(OR(H34&gt;TIME(16,0,0), IF(ISERROR(TIMEVALUE(H34&amp;"")), FALSE, TIMEVALUE(H34&amp;"")&gt;TIME(16,0,0))), 2, 1), IF(F34="GBP", 'Contracts &amp; Master Data'!$V$5:$V$20, 'Contracts &amp; Master Data'!$S$5:$S$16)), VLOOKUP(C34,'Contracts &amp; Master Data'!$A$4:$L$16,11,FALSE)))</f>
        <v/>
      </c>
      <c r="J34" s="11" t="str">
        <f>IF(C34="","", IF(E34="Spot", I34, VLOOKUP(C34,'Contracts &amp; Master Data'!$A$4:$L$16,12,FALSE)))</f>
        <v/>
      </c>
      <c r="K34" s="14"/>
      <c r="L34" s="18"/>
      <c r="M34" s="19"/>
      <c r="N34" s="17" t="s">
        <v>45</v>
      </c>
      <c r="O34" s="20" t="str">
        <f>IF(C34="","", IF(AND(E34="Derivative", $C$5 &lt; VLOOKUP(C34,'Contracts &amp; Master Data'!$A$4:$L$16,10,FALSE)), "NOT RELEVANT (Active Derivative)", IF(I34 &gt; IF(F34="GBP", $F$6, $C$6), "RELEVANT (Unsettled)", IF(OR(N34="Delayed / Pending", J34 &gt; $C$5), "RELEVANT (Pending Delivery)", "NOT RELEVANT (Fully Settled)"))))</f>
        <v/>
      </c>
      <c r="P34" s="21">
        <f>IF(O34="RELEVANT (Unsettled)", IF(K34="BUY", 1, -1) * L34 * VLOOKUP(C34,'Contracts &amp; Master Data'!$A$4:$L$16,7,FALSE) * M34, 0)</f>
        <v>0</v>
      </c>
      <c r="Q34" s="22">
        <f>IF(O34="RELEVANT (Unsettled)", IF(K34="BUY", 1, -1) * L34 * VLOOKUP(C34,'Contracts &amp; Master Data'!$A$4:$L$16,7,FALSE), 0)</f>
        <v>0</v>
      </c>
      <c r="R34" s="22">
        <f>IF(O34="RELEVANT (Pending Delivery)", IF(K34="BUY", 1, -1) * L34 * VLOOKUP(C34,'Contracts &amp; Master Data'!$A$4:$L$16,7,FALSE), 0)</f>
        <v>0</v>
      </c>
    </row>
    <row r="35" spans="2:18" x14ac:dyDescent="0.35">
      <c r="B35" s="13">
        <v>17</v>
      </c>
      <c r="C35" s="14"/>
      <c r="D35" s="15" t="str">
        <f>IF(C35="","",VLOOKUP(C35,'Contracts &amp; Master Data'!$A$4:$L$16,2,FALSE))</f>
        <v/>
      </c>
      <c r="E35" s="16" t="str">
        <f>IF(C35="","",VLOOKUP(C35,'Contracts &amp; Master Data'!$A$4:$L$16,4,FALSE))</f>
        <v/>
      </c>
      <c r="F35" s="15" t="str">
        <f>IF(C35="","",VLOOKUP(C35,'Contracts &amp; Master Data'!$A$4:$L$16,6,FALSE))</f>
        <v/>
      </c>
      <c r="G35" s="8"/>
      <c r="H35" s="17"/>
      <c r="I35" s="11" t="str">
        <f>IF(C35="","", IF(E35="Spot", WORKDAY(G35, IF(OR(H35&gt;TIME(16,0,0), IF(ISERROR(TIMEVALUE(H35&amp;"")), FALSE, TIMEVALUE(H35&amp;"")&gt;TIME(16,0,0))), 2, 1), IF(F35="GBP", 'Contracts &amp; Master Data'!$V$5:$V$20, 'Contracts &amp; Master Data'!$S$5:$S$16)), VLOOKUP(C35,'Contracts &amp; Master Data'!$A$4:$L$16,11,FALSE)))</f>
        <v/>
      </c>
      <c r="J35" s="11" t="str">
        <f>IF(C35="","", IF(E35="Spot", I35, VLOOKUP(C35,'Contracts &amp; Master Data'!$A$4:$L$16,12,FALSE)))</f>
        <v/>
      </c>
      <c r="K35" s="14"/>
      <c r="L35" s="18"/>
      <c r="M35" s="19"/>
      <c r="N35" s="17" t="s">
        <v>45</v>
      </c>
      <c r="O35" s="20" t="str">
        <f>IF(C35="","", IF(AND(E35="Derivative", $C$5 &lt; VLOOKUP(C35,'Contracts &amp; Master Data'!$A$4:$L$16,10,FALSE)), "NOT RELEVANT (Active Derivative)", IF(I35 &gt; IF(F35="GBP", $F$6, $C$6), "RELEVANT (Unsettled)", IF(OR(N35="Delayed / Pending", J35 &gt; $C$5), "RELEVANT (Pending Delivery)", "NOT RELEVANT (Fully Settled)"))))</f>
        <v/>
      </c>
      <c r="P35" s="21">
        <f>IF(O35="RELEVANT (Unsettled)", IF(K35="BUY", 1, -1) * L35 * VLOOKUP(C35,'Contracts &amp; Master Data'!$A$4:$L$16,7,FALSE) * M35, 0)</f>
        <v>0</v>
      </c>
      <c r="Q35" s="22">
        <f>IF(O35="RELEVANT (Unsettled)", IF(K35="BUY", 1, -1) * L35 * VLOOKUP(C35,'Contracts &amp; Master Data'!$A$4:$L$16,7,FALSE), 0)</f>
        <v>0</v>
      </c>
      <c r="R35" s="22">
        <f>IF(O35="RELEVANT (Pending Delivery)", IF(K35="BUY", 1, -1) * L35 * VLOOKUP(C35,'Contracts &amp; Master Data'!$A$4:$L$16,7,FALSE), 0)</f>
        <v>0</v>
      </c>
    </row>
    <row r="36" spans="2:18" x14ac:dyDescent="0.35">
      <c r="B36" s="13">
        <v>18</v>
      </c>
      <c r="C36" s="14"/>
      <c r="D36" s="15" t="str">
        <f>IF(C36="","",VLOOKUP(C36,'Contracts &amp; Master Data'!$A$4:$L$16,2,FALSE))</f>
        <v/>
      </c>
      <c r="E36" s="16" t="str">
        <f>IF(C36="","",VLOOKUP(C36,'Contracts &amp; Master Data'!$A$4:$L$16,4,FALSE))</f>
        <v/>
      </c>
      <c r="F36" s="15" t="str">
        <f>IF(C36="","",VLOOKUP(C36,'Contracts &amp; Master Data'!$A$4:$L$16,6,FALSE))</f>
        <v/>
      </c>
      <c r="G36" s="8"/>
      <c r="H36" s="17"/>
      <c r="I36" s="11" t="str">
        <f>IF(C36="","", IF(E36="Spot", WORKDAY(G36, IF(OR(H36&gt;TIME(16,0,0), IF(ISERROR(TIMEVALUE(H36&amp;"")), FALSE, TIMEVALUE(H36&amp;"")&gt;TIME(16,0,0))), 2, 1), IF(F36="GBP", 'Contracts &amp; Master Data'!$V$5:$V$20, 'Contracts &amp; Master Data'!$S$5:$S$16)), VLOOKUP(C36,'Contracts &amp; Master Data'!$A$4:$L$16,11,FALSE)))</f>
        <v/>
      </c>
      <c r="J36" s="11" t="str">
        <f>IF(C36="","", IF(E36="Spot", I36, VLOOKUP(C36,'Contracts &amp; Master Data'!$A$4:$L$16,12,FALSE)))</f>
        <v/>
      </c>
      <c r="K36" s="14"/>
      <c r="L36" s="18"/>
      <c r="M36" s="19"/>
      <c r="N36" s="17" t="s">
        <v>45</v>
      </c>
      <c r="O36" s="20" t="str">
        <f>IF(C36="","", IF(AND(E36="Derivative", $C$5 &lt; VLOOKUP(C36,'Contracts &amp; Master Data'!$A$4:$L$16,10,FALSE)), "NOT RELEVANT (Active Derivative)", IF(I36 &gt; IF(F36="GBP", $F$6, $C$6), "RELEVANT (Unsettled)", IF(OR(N36="Delayed / Pending", J36 &gt; $C$5), "RELEVANT (Pending Delivery)", "NOT RELEVANT (Fully Settled)"))))</f>
        <v/>
      </c>
      <c r="P36" s="21">
        <f>IF(O36="RELEVANT (Unsettled)", IF(K36="BUY", 1, -1) * L36 * VLOOKUP(C36,'Contracts &amp; Master Data'!$A$4:$L$16,7,FALSE) * M36, 0)</f>
        <v>0</v>
      </c>
      <c r="Q36" s="22">
        <f>IF(O36="RELEVANT (Unsettled)", IF(K36="BUY", 1, -1) * L36 * VLOOKUP(C36,'Contracts &amp; Master Data'!$A$4:$L$16,7,FALSE), 0)</f>
        <v>0</v>
      </c>
      <c r="R36" s="22">
        <f>IF(O36="RELEVANT (Pending Delivery)", IF(K36="BUY", 1, -1) * L36 * VLOOKUP(C36,'Contracts &amp; Master Data'!$A$4:$L$16,7,FALSE), 0)</f>
        <v>0</v>
      </c>
    </row>
    <row r="37" spans="2:18" x14ac:dyDescent="0.35">
      <c r="B37" s="13">
        <v>19</v>
      </c>
      <c r="C37" s="14"/>
      <c r="D37" s="15" t="str">
        <f>IF(C37="","",VLOOKUP(C37,'Contracts &amp; Master Data'!$A$4:$L$16,2,FALSE))</f>
        <v/>
      </c>
      <c r="E37" s="16" t="str">
        <f>IF(C37="","",VLOOKUP(C37,'Contracts &amp; Master Data'!$A$4:$L$16,4,FALSE))</f>
        <v/>
      </c>
      <c r="F37" s="15" t="str">
        <f>IF(C37="","",VLOOKUP(C37,'Contracts &amp; Master Data'!$A$4:$L$16,6,FALSE))</f>
        <v/>
      </c>
      <c r="G37" s="8"/>
      <c r="H37" s="17"/>
      <c r="I37" s="11" t="str">
        <f>IF(C37="","", IF(E37="Spot", WORKDAY(G37, IF(OR(H37&gt;TIME(16,0,0), IF(ISERROR(TIMEVALUE(H37&amp;"")), FALSE, TIMEVALUE(H37&amp;"")&gt;TIME(16,0,0))), 2, 1), IF(F37="GBP", 'Contracts &amp; Master Data'!$V$5:$V$20, 'Contracts &amp; Master Data'!$S$5:$S$16)), VLOOKUP(C37,'Contracts &amp; Master Data'!$A$4:$L$16,11,FALSE)))</f>
        <v/>
      </c>
      <c r="J37" s="11" t="str">
        <f>IF(C37="","", IF(E37="Spot", I37, VLOOKUP(C37,'Contracts &amp; Master Data'!$A$4:$L$16,12,FALSE)))</f>
        <v/>
      </c>
      <c r="K37" s="14"/>
      <c r="L37" s="18"/>
      <c r="M37" s="19"/>
      <c r="N37" s="17" t="s">
        <v>45</v>
      </c>
      <c r="O37" s="20" t="str">
        <f>IF(C37="","", IF(AND(E37="Derivative", $C$5 &lt; VLOOKUP(C37,'Contracts &amp; Master Data'!$A$4:$L$16,10,FALSE)), "NOT RELEVANT (Active Derivative)", IF(I37 &gt; IF(F37="GBP", $F$6, $C$6), "RELEVANT (Unsettled)", IF(OR(N37="Delayed / Pending", J37 &gt; $C$5), "RELEVANT (Pending Delivery)", "NOT RELEVANT (Fully Settled)"))))</f>
        <v/>
      </c>
      <c r="P37" s="21">
        <f>IF(O37="RELEVANT (Unsettled)", IF(K37="BUY", 1, -1) * L37 * VLOOKUP(C37,'Contracts &amp; Master Data'!$A$4:$L$16,7,FALSE) * M37, 0)</f>
        <v>0</v>
      </c>
      <c r="Q37" s="22">
        <f>IF(O37="RELEVANT (Unsettled)", IF(K37="BUY", 1, -1) * L37 * VLOOKUP(C37,'Contracts &amp; Master Data'!$A$4:$L$16,7,FALSE), 0)</f>
        <v>0</v>
      </c>
      <c r="R37" s="22">
        <f>IF(O37="RELEVANT (Pending Delivery)", IF(K37="BUY", 1, -1) * L37 * VLOOKUP(C37,'Contracts &amp; Master Data'!$A$4:$L$16,7,FALSE), 0)</f>
        <v>0</v>
      </c>
    </row>
    <row r="38" spans="2:18" x14ac:dyDescent="0.35">
      <c r="B38" s="13">
        <v>20</v>
      </c>
      <c r="C38" s="14"/>
      <c r="D38" s="15" t="str">
        <f>IF(C38="","",VLOOKUP(C38,'Contracts &amp; Master Data'!$A$4:$L$16,2,FALSE))</f>
        <v/>
      </c>
      <c r="E38" s="16" t="str">
        <f>IF(C38="","",VLOOKUP(C38,'Contracts &amp; Master Data'!$A$4:$L$16,4,FALSE))</f>
        <v/>
      </c>
      <c r="F38" s="15" t="str">
        <f>IF(C38="","",VLOOKUP(C38,'Contracts &amp; Master Data'!$A$4:$L$16,6,FALSE))</f>
        <v/>
      </c>
      <c r="G38" s="8"/>
      <c r="H38" s="17"/>
      <c r="I38" s="11" t="str">
        <f>IF(C38="","", IF(E38="Spot", WORKDAY(G38, IF(OR(H38&gt;TIME(16,0,0), IF(ISERROR(TIMEVALUE(H38&amp;"")), FALSE, TIMEVALUE(H38&amp;"")&gt;TIME(16,0,0))), 2, 1), IF(F38="GBP", 'Contracts &amp; Master Data'!$V$5:$V$20, 'Contracts &amp; Master Data'!$S$5:$S$16)), VLOOKUP(C38,'Contracts &amp; Master Data'!$A$4:$L$16,11,FALSE)))</f>
        <v/>
      </c>
      <c r="J38" s="11" t="str">
        <f>IF(C38="","", IF(E38="Spot", I38, VLOOKUP(C38,'Contracts &amp; Master Data'!$A$4:$L$16,12,FALSE)))</f>
        <v/>
      </c>
      <c r="K38" s="14"/>
      <c r="L38" s="18"/>
      <c r="M38" s="19"/>
      <c r="N38" s="17" t="s">
        <v>45</v>
      </c>
      <c r="O38" s="20" t="str">
        <f>IF(C38="","", IF(AND(E38="Derivative", $C$5 &lt; VLOOKUP(C38,'Contracts &amp; Master Data'!$A$4:$L$16,10,FALSE)), "NOT RELEVANT (Active Derivative)", IF(I38 &gt; IF(F38="GBP", $F$6, $C$6), "RELEVANT (Unsettled)", IF(OR(N38="Delayed / Pending", J38 &gt; $C$5), "RELEVANT (Pending Delivery)", "NOT RELEVANT (Fully Settled)"))))</f>
        <v/>
      </c>
      <c r="P38" s="21">
        <f>IF(O38="RELEVANT (Unsettled)", IF(K38="BUY", 1, -1) * L38 * VLOOKUP(C38,'Contracts &amp; Master Data'!$A$4:$L$16,7,FALSE) * M38, 0)</f>
        <v>0</v>
      </c>
      <c r="Q38" s="22">
        <f>IF(O38="RELEVANT (Unsettled)", IF(K38="BUY", 1, -1) * L38 * VLOOKUP(C38,'Contracts &amp; Master Data'!$A$4:$L$16,7,FALSE), 0)</f>
        <v>0</v>
      </c>
      <c r="R38" s="22">
        <f>IF(O38="RELEVANT (Pending Delivery)", IF(K38="BUY", 1, -1) * L38 * VLOOKUP(C38,'Contracts &amp; Master Data'!$A$4:$L$16,7,FALSE), 0)</f>
        <v>0</v>
      </c>
    </row>
    <row r="42" spans="2:18" ht="16.5" x14ac:dyDescent="0.45">
      <c r="B42" s="5" t="s">
        <v>57</v>
      </c>
    </row>
    <row r="43" spans="2:18" x14ac:dyDescent="0.35">
      <c r="B43" s="69" t="s">
        <v>146</v>
      </c>
    </row>
    <row r="44" spans="2:18" ht="79" customHeight="1" x14ac:dyDescent="0.35">
      <c r="B44" s="12" t="s">
        <v>27</v>
      </c>
      <c r="C44" s="12" t="s">
        <v>58</v>
      </c>
      <c r="D44" s="12" t="s">
        <v>29</v>
      </c>
      <c r="E44" s="12" t="s">
        <v>59</v>
      </c>
      <c r="F44" s="36" t="s">
        <v>60</v>
      </c>
      <c r="G44" s="36" t="s">
        <v>61</v>
      </c>
      <c r="H44" s="12" t="s">
        <v>62</v>
      </c>
      <c r="I44" s="12" t="s">
        <v>63</v>
      </c>
      <c r="J44" s="12" t="s">
        <v>64</v>
      </c>
      <c r="K44" s="12" t="s">
        <v>65</v>
      </c>
      <c r="L44" s="12" t="s">
        <v>66</v>
      </c>
      <c r="M44" s="12" t="s">
        <v>67</v>
      </c>
      <c r="N44" s="12" t="s">
        <v>68</v>
      </c>
      <c r="O44" s="12" t="s">
        <v>69</v>
      </c>
      <c r="P44" s="12" t="s">
        <v>70</v>
      </c>
    </row>
    <row r="45" spans="2:18" x14ac:dyDescent="0.35">
      <c r="B45" s="23" t="s">
        <v>71</v>
      </c>
      <c r="C45" s="15" t="str">
        <f>VLOOKUP(B45,'Contracts &amp; Master Data'!$N$5:$Q$14,2,FALSE)</f>
        <v>CERT</v>
      </c>
      <c r="D45" s="15" t="str">
        <f>VLOOKUP(B45,'Contracts &amp; Master Data'!$N$5:$Q$14,3,FALSE)</f>
        <v>EUR</v>
      </c>
      <c r="E45" s="19">
        <v>71</v>
      </c>
      <c r="F45" s="24">
        <f>VLOOKUP(B45,'Contracts &amp; Master Data'!$N$5:$Q$14,4,FALSE)</f>
        <v>0.15</v>
      </c>
      <c r="G45" s="18">
        <v>2000</v>
      </c>
      <c r="H45" s="25">
        <f t="shared" ref="H45:H53" si="0">SUMIF($D$19:$D$38, B45, $P$19:$P$38)</f>
        <v>710000</v>
      </c>
      <c r="I45" s="26">
        <f t="shared" ref="I45:I53" si="1">SUMIF($D$19:$D$38, B45, $Q$19:$Q$38)</f>
        <v>10000</v>
      </c>
      <c r="J45" s="22">
        <f t="shared" ref="J45:J53" si="2">SUMIF($D$19:$D$38, B45, $R$19:$R$38)</f>
        <v>-15000</v>
      </c>
      <c r="K45" s="21">
        <f t="shared" ref="K45:K53" si="3">H45</f>
        <v>710000</v>
      </c>
      <c r="L45" s="21">
        <f t="shared" ref="L45:L53" si="4">-1 * MAX(0, I45) * E45 * (1 - F45)</f>
        <v>-603500</v>
      </c>
      <c r="M45" s="21">
        <f t="shared" ref="M45:M53" si="5">-1 * MIN(0, I45 + J45 + MAX(0, G45)) * E45 * (1 + F45)</f>
        <v>244949.99999999997</v>
      </c>
      <c r="N45" s="25">
        <f t="shared" ref="N45:N53" si="6">K45 + L45 + M45</f>
        <v>351450</v>
      </c>
      <c r="O45" s="27">
        <f t="shared" ref="O45:O53" si="7">IF(D45="GBP", $F$5, 1)</f>
        <v>1</v>
      </c>
      <c r="P45" s="28">
        <f t="shared" ref="P45:P53" si="8">N45 * O45</f>
        <v>351450</v>
      </c>
    </row>
    <row r="46" spans="2:18" x14ac:dyDescent="0.35">
      <c r="B46" s="23" t="s">
        <v>72</v>
      </c>
      <c r="C46" s="15" t="str">
        <f>VLOOKUP(B46,'Contracts &amp; Master Data'!$N$5:$Q$14,2,FALSE)</f>
        <v>CERT</v>
      </c>
      <c r="D46" s="15" t="str">
        <f>VLOOKUP(B46,'Contracts &amp; Master Data'!$N$5:$Q$14,3,FALSE)</f>
        <v>GBP</v>
      </c>
      <c r="E46" s="19">
        <v>44</v>
      </c>
      <c r="F46" s="24">
        <f>VLOOKUP(B46,'Contracts &amp; Master Data'!$N$5:$Q$14,4,FALSE)</f>
        <v>0.15</v>
      </c>
      <c r="G46" s="18">
        <v>1000</v>
      </c>
      <c r="H46" s="25">
        <f t="shared" si="0"/>
        <v>356000</v>
      </c>
      <c r="I46" s="26">
        <f t="shared" si="1"/>
        <v>8000</v>
      </c>
      <c r="J46" s="22">
        <f t="shared" si="2"/>
        <v>-5000</v>
      </c>
      <c r="K46" s="21">
        <f t="shared" si="3"/>
        <v>356000</v>
      </c>
      <c r="L46" s="21">
        <f t="shared" si="4"/>
        <v>-299200</v>
      </c>
      <c r="M46" s="21">
        <f t="shared" si="5"/>
        <v>0</v>
      </c>
      <c r="N46" s="25">
        <f t="shared" si="6"/>
        <v>56800</v>
      </c>
      <c r="O46" s="27">
        <f t="shared" si="7"/>
        <v>1.2</v>
      </c>
      <c r="P46" s="28">
        <f t="shared" si="8"/>
        <v>68160</v>
      </c>
    </row>
    <row r="47" spans="2:18" x14ac:dyDescent="0.35">
      <c r="B47" s="23" t="s">
        <v>73</v>
      </c>
      <c r="C47" s="15" t="str">
        <f>VLOOKUP(B47,'Contracts &amp; Master Data'!$N$5:$Q$14,2,FALSE)</f>
        <v>CERT</v>
      </c>
      <c r="D47" s="15" t="str">
        <f>VLOOKUP(B47,'Contracts &amp; Master Data'!$N$5:$Q$14,3,FALSE)</f>
        <v>EUR</v>
      </c>
      <c r="E47" s="19">
        <v>65</v>
      </c>
      <c r="F47" s="24">
        <f>VLOOKUP(B47,'Contracts &amp; Master Data'!$N$5:$Q$14,4,FALSE)</f>
        <v>0.3</v>
      </c>
      <c r="G47" s="18">
        <v>0</v>
      </c>
      <c r="H47" s="25">
        <f t="shared" si="0"/>
        <v>0</v>
      </c>
      <c r="I47" s="26">
        <f t="shared" si="1"/>
        <v>0</v>
      </c>
      <c r="J47" s="22">
        <f t="shared" si="2"/>
        <v>0</v>
      </c>
      <c r="K47" s="21">
        <f t="shared" si="3"/>
        <v>0</v>
      </c>
      <c r="L47" s="21">
        <f t="shared" si="4"/>
        <v>0</v>
      </c>
      <c r="M47" s="21">
        <f t="shared" si="5"/>
        <v>0</v>
      </c>
      <c r="N47" s="25">
        <f t="shared" si="6"/>
        <v>0</v>
      </c>
      <c r="O47" s="27">
        <f t="shared" si="7"/>
        <v>1</v>
      </c>
      <c r="P47" s="28">
        <f t="shared" si="8"/>
        <v>0</v>
      </c>
    </row>
    <row r="48" spans="2:18" x14ac:dyDescent="0.35">
      <c r="B48" s="23" t="s">
        <v>74</v>
      </c>
      <c r="C48" s="15" t="str">
        <f>VLOOKUP(B48,'Contracts &amp; Master Data'!$N$5:$Q$14,2,FALSE)</f>
        <v>GO</v>
      </c>
      <c r="D48" s="15" t="str">
        <f>VLOOKUP(B48,'Contracts &amp; Master Data'!$N$5:$Q$14,3,FALSE)</f>
        <v>EUR</v>
      </c>
      <c r="E48" s="19">
        <v>1.4</v>
      </c>
      <c r="F48" s="24">
        <f>VLOOKUP(B48,'Contracts &amp; Master Data'!$N$5:$Q$14,4,FALSE)</f>
        <v>0.45</v>
      </c>
      <c r="G48" s="18">
        <v>0</v>
      </c>
      <c r="H48" s="25">
        <f t="shared" si="0"/>
        <v>0</v>
      </c>
      <c r="I48" s="26">
        <f t="shared" si="1"/>
        <v>0</v>
      </c>
      <c r="J48" s="22">
        <f t="shared" si="2"/>
        <v>20000</v>
      </c>
      <c r="K48" s="21">
        <f t="shared" si="3"/>
        <v>0</v>
      </c>
      <c r="L48" s="21">
        <f t="shared" si="4"/>
        <v>0</v>
      </c>
      <c r="M48" s="21">
        <f t="shared" si="5"/>
        <v>0</v>
      </c>
      <c r="N48" s="25">
        <f t="shared" si="6"/>
        <v>0</v>
      </c>
      <c r="O48" s="27">
        <f t="shared" si="7"/>
        <v>1</v>
      </c>
      <c r="P48" s="28">
        <f t="shared" si="8"/>
        <v>0</v>
      </c>
    </row>
    <row r="49" spans="2:16" x14ac:dyDescent="0.35">
      <c r="B49" s="23" t="s">
        <v>75</v>
      </c>
      <c r="C49" s="15" t="str">
        <f>VLOOKUP(B49,'Contracts &amp; Master Data'!$N$5:$Q$14,2,FALSE)</f>
        <v>GO</v>
      </c>
      <c r="D49" s="15" t="str">
        <f>VLOOKUP(B49,'Contracts &amp; Master Data'!$N$5:$Q$14,3,FALSE)</f>
        <v>EUR</v>
      </c>
      <c r="E49" s="19">
        <v>1.3</v>
      </c>
      <c r="F49" s="24">
        <f>VLOOKUP(B49,'Contracts &amp; Master Data'!$N$5:$Q$14,4,FALSE)</f>
        <v>0.45</v>
      </c>
      <c r="G49" s="18">
        <v>2000</v>
      </c>
      <c r="H49" s="25">
        <f t="shared" si="0"/>
        <v>0</v>
      </c>
      <c r="I49" s="26">
        <f t="shared" si="1"/>
        <v>0</v>
      </c>
      <c r="J49" s="22">
        <f t="shared" si="2"/>
        <v>-15000</v>
      </c>
      <c r="K49" s="21">
        <f t="shared" si="3"/>
        <v>0</v>
      </c>
      <c r="L49" s="21">
        <f t="shared" si="4"/>
        <v>0</v>
      </c>
      <c r="M49" s="21">
        <f t="shared" si="5"/>
        <v>24505</v>
      </c>
      <c r="N49" s="25">
        <f t="shared" si="6"/>
        <v>24505</v>
      </c>
      <c r="O49" s="27">
        <f t="shared" si="7"/>
        <v>1</v>
      </c>
      <c r="P49" s="28">
        <f t="shared" si="8"/>
        <v>24505</v>
      </c>
    </row>
    <row r="50" spans="2:16" x14ac:dyDescent="0.35">
      <c r="B50" s="23" t="s">
        <v>76</v>
      </c>
      <c r="C50" s="15" t="str">
        <f>VLOOKUP(B50,'Contracts &amp; Master Data'!$N$5:$Q$14,2,FALSE)</f>
        <v>GO</v>
      </c>
      <c r="D50" s="15" t="str">
        <f>VLOOKUP(B50,'Contracts &amp; Master Data'!$N$5:$Q$14,3,FALSE)</f>
        <v>EUR</v>
      </c>
      <c r="E50" s="19">
        <v>1.6</v>
      </c>
      <c r="F50" s="24">
        <f>VLOOKUP(B50,'Contracts &amp; Master Data'!$N$5:$Q$14,4,FALSE)</f>
        <v>0.4</v>
      </c>
      <c r="G50" s="18">
        <v>0</v>
      </c>
      <c r="H50" s="25">
        <f t="shared" si="0"/>
        <v>0</v>
      </c>
      <c r="I50" s="26">
        <f t="shared" si="1"/>
        <v>0</v>
      </c>
      <c r="J50" s="22">
        <f t="shared" si="2"/>
        <v>0</v>
      </c>
      <c r="K50" s="21">
        <f t="shared" si="3"/>
        <v>0</v>
      </c>
      <c r="L50" s="21">
        <f t="shared" si="4"/>
        <v>0</v>
      </c>
      <c r="M50" s="21">
        <f t="shared" si="5"/>
        <v>0</v>
      </c>
      <c r="N50" s="25">
        <f t="shared" si="6"/>
        <v>0</v>
      </c>
      <c r="O50" s="27">
        <f t="shared" si="7"/>
        <v>1</v>
      </c>
      <c r="P50" s="28">
        <f t="shared" si="8"/>
        <v>0</v>
      </c>
    </row>
    <row r="51" spans="2:16" x14ac:dyDescent="0.35">
      <c r="B51" s="23" t="s">
        <v>77</v>
      </c>
      <c r="C51" s="15" t="str">
        <f>VLOOKUP(B51,'Contracts &amp; Master Data'!$N$5:$Q$14,2,FALSE)</f>
        <v>GO</v>
      </c>
      <c r="D51" s="15" t="str">
        <f>VLOOKUP(B51,'Contracts &amp; Master Data'!$N$5:$Q$14,3,FALSE)</f>
        <v>EUR</v>
      </c>
      <c r="E51" s="19">
        <v>1.5</v>
      </c>
      <c r="F51" s="24">
        <f>VLOOKUP(B51,'Contracts &amp; Master Data'!$N$5:$Q$14,4,FALSE)</f>
        <v>0.45</v>
      </c>
      <c r="G51" s="18">
        <v>0</v>
      </c>
      <c r="H51" s="25">
        <f t="shared" si="0"/>
        <v>0</v>
      </c>
      <c r="I51" s="26">
        <f t="shared" si="1"/>
        <v>0</v>
      </c>
      <c r="J51" s="22">
        <f t="shared" si="2"/>
        <v>0</v>
      </c>
      <c r="K51" s="21">
        <f t="shared" si="3"/>
        <v>0</v>
      </c>
      <c r="L51" s="21">
        <f t="shared" si="4"/>
        <v>0</v>
      </c>
      <c r="M51" s="21">
        <f t="shared" si="5"/>
        <v>0</v>
      </c>
      <c r="N51" s="25">
        <f t="shared" si="6"/>
        <v>0</v>
      </c>
      <c r="O51" s="27">
        <f t="shared" si="7"/>
        <v>1</v>
      </c>
      <c r="P51" s="28">
        <f t="shared" si="8"/>
        <v>0</v>
      </c>
    </row>
    <row r="52" spans="2:16" x14ac:dyDescent="0.35">
      <c r="B52" s="23" t="s">
        <v>78</v>
      </c>
      <c r="C52" s="15" t="str">
        <f>VLOOKUP(B52,'Contracts &amp; Master Data'!$N$5:$Q$14,2,FALSE)</f>
        <v>GO</v>
      </c>
      <c r="D52" s="15" t="str">
        <f>VLOOKUP(B52,'Contracts &amp; Master Data'!$N$5:$Q$14,3,FALSE)</f>
        <v>EUR</v>
      </c>
      <c r="E52" s="19">
        <v>1.45</v>
      </c>
      <c r="F52" s="24">
        <f>VLOOKUP(B52,'Contracts &amp; Master Data'!$N$5:$Q$14,4,FALSE)</f>
        <v>0.45</v>
      </c>
      <c r="G52" s="18">
        <v>0</v>
      </c>
      <c r="H52" s="25">
        <f t="shared" si="0"/>
        <v>0</v>
      </c>
      <c r="I52" s="26">
        <f t="shared" si="1"/>
        <v>0</v>
      </c>
      <c r="J52" s="22">
        <f t="shared" si="2"/>
        <v>0</v>
      </c>
      <c r="K52" s="21">
        <f t="shared" si="3"/>
        <v>0</v>
      </c>
      <c r="L52" s="21">
        <f t="shared" si="4"/>
        <v>0</v>
      </c>
      <c r="M52" s="21">
        <f t="shared" si="5"/>
        <v>0</v>
      </c>
      <c r="N52" s="25">
        <f t="shared" si="6"/>
        <v>0</v>
      </c>
      <c r="O52" s="27">
        <f t="shared" si="7"/>
        <v>1</v>
      </c>
      <c r="P52" s="28">
        <f t="shared" si="8"/>
        <v>0</v>
      </c>
    </row>
    <row r="53" spans="2:16" x14ac:dyDescent="0.35">
      <c r="B53" s="23" t="s">
        <v>79</v>
      </c>
      <c r="C53" s="15" t="str">
        <f>VLOOKUP(B53,'Contracts &amp; Master Data'!$N$5:$Q$14,2,FALSE)</f>
        <v>GO</v>
      </c>
      <c r="D53" s="15" t="str">
        <f>VLOOKUP(B53,'Contracts &amp; Master Data'!$N$5:$Q$14,3,FALSE)</f>
        <v>EUR</v>
      </c>
      <c r="E53" s="19">
        <v>1.35</v>
      </c>
      <c r="F53" s="24">
        <f>VLOOKUP(B53,'Contracts &amp; Master Data'!$N$5:$Q$14,4,FALSE)</f>
        <v>0.4</v>
      </c>
      <c r="G53" s="18">
        <v>0</v>
      </c>
      <c r="H53" s="25">
        <f t="shared" si="0"/>
        <v>0</v>
      </c>
      <c r="I53" s="26">
        <f t="shared" si="1"/>
        <v>0</v>
      </c>
      <c r="J53" s="22">
        <f t="shared" si="2"/>
        <v>0</v>
      </c>
      <c r="K53" s="21">
        <f t="shared" si="3"/>
        <v>0</v>
      </c>
      <c r="L53" s="21">
        <f t="shared" si="4"/>
        <v>0</v>
      </c>
      <c r="M53" s="21">
        <f t="shared" si="5"/>
        <v>0</v>
      </c>
      <c r="N53" s="25">
        <f t="shared" si="6"/>
        <v>0</v>
      </c>
      <c r="O53" s="27">
        <f t="shared" si="7"/>
        <v>1</v>
      </c>
      <c r="P53" s="28">
        <f t="shared" si="8"/>
        <v>0</v>
      </c>
    </row>
    <row r="54" spans="2:16" x14ac:dyDescent="0.35">
      <c r="B54" s="71" t="s">
        <v>139</v>
      </c>
      <c r="C54" s="15" t="str">
        <f>VLOOKUP(B54,'Contracts &amp; Master Data'!$N$5:$Q$14,2,FALSE)</f>
        <v>CGFR</v>
      </c>
      <c r="D54" s="15" t="str">
        <f>VLOOKUP(B54,'Contracts &amp; Master Data'!$N$5:$Q$14,3,FALSE)</f>
        <v>EUR</v>
      </c>
      <c r="E54" s="19">
        <v>6000</v>
      </c>
      <c r="F54" s="24">
        <f>VLOOKUP(B54,'Contracts &amp; Master Data'!$N$5:$Q$14,4,FALSE)</f>
        <v>1</v>
      </c>
      <c r="G54" s="18">
        <v>0</v>
      </c>
      <c r="H54" s="25">
        <f t="shared" ref="H54" si="9">SUMIF($D$19:$D$38, B54, $P$19:$P$38)</f>
        <v>0</v>
      </c>
      <c r="I54" s="26">
        <f t="shared" ref="I54" si="10">SUMIF($D$19:$D$38, B54, $Q$19:$Q$38)</f>
        <v>0</v>
      </c>
      <c r="J54" s="22">
        <f t="shared" ref="J54" si="11">SUMIF($D$19:$D$38, B54, $R$19:$R$38)</f>
        <v>5</v>
      </c>
      <c r="K54" s="21">
        <f t="shared" ref="K54" si="12">H54</f>
        <v>0</v>
      </c>
      <c r="L54" s="21">
        <f t="shared" ref="L54" si="13">-1 * MAX(0, I54) * E54 * (1 - F54)</f>
        <v>0</v>
      </c>
      <c r="M54" s="21">
        <f t="shared" ref="M54" si="14">-1 * MIN(0, I54 + J54 + MAX(0, G54)) * E54 * (1 + F54)</f>
        <v>0</v>
      </c>
      <c r="N54" s="25">
        <f t="shared" ref="N54" si="15">K54 + L54 + M54</f>
        <v>0</v>
      </c>
      <c r="O54" s="27">
        <f t="shared" ref="O54" si="16">IF(D54="GBP", $F$5, 1)</f>
        <v>1</v>
      </c>
      <c r="P54" s="28">
        <f t="shared" ref="P54" si="17">N54 * O54</f>
        <v>0</v>
      </c>
    </row>
  </sheetData>
  <mergeCells count="8">
    <mergeCell ref="B12:D12"/>
    <mergeCell ref="E12:G12"/>
    <mergeCell ref="H12:J12"/>
    <mergeCell ref="K12:M12"/>
    <mergeCell ref="K11:M11"/>
    <mergeCell ref="B11:D11"/>
    <mergeCell ref="E11:G11"/>
    <mergeCell ref="H11:J11"/>
  </mergeCells>
  <dataValidations count="3">
    <dataValidation type="list" allowBlank="1" sqref="K19:K38" xr:uid="{00000000-0002-0000-0100-000002000000}">
      <formula1>"BUY,SELL"</formula1>
    </dataValidation>
    <dataValidation type="list" allowBlank="1" sqref="N19:N38" xr:uid="{00000000-0002-0000-0100-000003000000}">
      <formula1>"Standard (Auto),Delayed / Pending"</formula1>
    </dataValidation>
    <dataValidation type="decimal" operator="greaterThanOrEqual" allowBlank="1" sqref="G45:G54" xr:uid="{00000000-0002-0000-0100-000004000000}">
      <formula1>0</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2">
        <x14:dataValidation type="list" allowBlank="1" xr:uid="{00000000-0002-0000-0100-000000000000}">
          <x14:formula1>
            <xm:f>'Contracts &amp; Master Data'!$Y$5:$Y$327</xm:f>
          </x14:formula1>
          <xm:sqref>C5</xm:sqref>
        </x14:dataValidation>
        <x14:dataValidation type="list" allowBlank="1" xr:uid="{00000000-0002-0000-0100-000001000000}">
          <x14:formula1>
            <xm:f>'Contracts &amp; Master Data'!$A$4:$A$16</xm:f>
          </x14:formula1>
          <xm:sqref>C19:C38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27"/>
  <sheetViews>
    <sheetView zoomScale="80" zoomScaleNormal="80" workbookViewId="0">
      <selection activeCell="C16" sqref="C16"/>
    </sheetView>
  </sheetViews>
  <sheetFormatPr baseColWidth="10" defaultColWidth="8.7265625" defaultRowHeight="14.5" x14ac:dyDescent="0.35"/>
  <cols>
    <col min="1" max="1" width="18" customWidth="1"/>
    <col min="2" max="2" width="16" customWidth="1"/>
    <col min="3" max="3" width="30.1796875" customWidth="1"/>
    <col min="4" max="4" width="12" customWidth="1"/>
    <col min="5" max="5" width="14" customWidth="1"/>
    <col min="6" max="6" width="10" customWidth="1"/>
    <col min="7" max="7" width="14" customWidth="1"/>
    <col min="8" max="8" width="10" customWidth="1"/>
    <col min="9" max="9" width="16" customWidth="1"/>
    <col min="10" max="12" width="14" customWidth="1"/>
    <col min="14" max="14" width="16" customWidth="1"/>
    <col min="15" max="15" width="14" customWidth="1"/>
    <col min="16" max="16" width="10" customWidth="1"/>
    <col min="17" max="17" width="22" customWidth="1"/>
    <col min="19" max="19" width="16" customWidth="1"/>
    <col min="20" max="20" width="22" customWidth="1"/>
    <col min="22" max="22" width="16" customWidth="1"/>
    <col min="23" max="23" width="24" customWidth="1"/>
    <col min="25" max="25" width="16" customWidth="1"/>
  </cols>
  <sheetData>
    <row r="1" spans="1:25" ht="22.5" x14ac:dyDescent="0.6">
      <c r="A1" s="6" t="s">
        <v>80</v>
      </c>
    </row>
    <row r="3" spans="1:25" ht="28" x14ac:dyDescent="0.45">
      <c r="A3" s="12" t="s">
        <v>81</v>
      </c>
      <c r="B3" s="12" t="s">
        <v>82</v>
      </c>
      <c r="C3" s="12" t="s">
        <v>83</v>
      </c>
      <c r="D3" s="12" t="s">
        <v>28</v>
      </c>
      <c r="E3" s="12" t="s">
        <v>58</v>
      </c>
      <c r="F3" s="12" t="s">
        <v>29</v>
      </c>
      <c r="G3" s="12" t="s">
        <v>84</v>
      </c>
      <c r="H3" s="12" t="s">
        <v>85</v>
      </c>
      <c r="I3" s="12" t="s">
        <v>60</v>
      </c>
      <c r="J3" s="12" t="s">
        <v>86</v>
      </c>
      <c r="K3" s="12" t="s">
        <v>32</v>
      </c>
      <c r="L3" s="12" t="s">
        <v>33</v>
      </c>
      <c r="N3" s="5" t="s">
        <v>87</v>
      </c>
      <c r="S3" s="5" t="s">
        <v>88</v>
      </c>
      <c r="V3" s="5" t="s">
        <v>89</v>
      </c>
      <c r="Y3" s="5" t="s">
        <v>90</v>
      </c>
    </row>
    <row r="4" spans="1:25" ht="15" x14ac:dyDescent="0.4">
      <c r="A4" s="29" t="s">
        <v>42</v>
      </c>
      <c r="B4" s="29" t="s">
        <v>71</v>
      </c>
      <c r="C4" s="30" t="s">
        <v>91</v>
      </c>
      <c r="D4" s="29" t="s">
        <v>92</v>
      </c>
      <c r="E4" s="29" t="s">
        <v>93</v>
      </c>
      <c r="F4" s="29" t="s">
        <v>94</v>
      </c>
      <c r="G4" s="31">
        <v>1000</v>
      </c>
      <c r="H4" s="29" t="s">
        <v>95</v>
      </c>
      <c r="I4" s="32">
        <v>0.15</v>
      </c>
      <c r="J4" s="29" t="s">
        <v>96</v>
      </c>
      <c r="K4" s="29" t="s">
        <v>97</v>
      </c>
      <c r="L4" s="29" t="s">
        <v>97</v>
      </c>
      <c r="N4" s="33" t="s">
        <v>27</v>
      </c>
      <c r="O4" s="33" t="s">
        <v>58</v>
      </c>
      <c r="P4" s="33" t="s">
        <v>29</v>
      </c>
      <c r="Q4" s="33" t="s">
        <v>60</v>
      </c>
      <c r="S4" s="33" t="s">
        <v>98</v>
      </c>
      <c r="T4" s="33" t="s">
        <v>99</v>
      </c>
      <c r="V4" s="33" t="s">
        <v>100</v>
      </c>
      <c r="W4" s="33" t="s">
        <v>99</v>
      </c>
      <c r="Y4" s="33" t="s">
        <v>101</v>
      </c>
    </row>
    <row r="5" spans="1:25" x14ac:dyDescent="0.35">
      <c r="A5" s="29" t="s">
        <v>50</v>
      </c>
      <c r="B5" s="29" t="s">
        <v>71</v>
      </c>
      <c r="C5" s="30" t="s">
        <v>102</v>
      </c>
      <c r="D5" s="29" t="s">
        <v>103</v>
      </c>
      <c r="E5" s="29" t="s">
        <v>93</v>
      </c>
      <c r="F5" s="29" t="s">
        <v>94</v>
      </c>
      <c r="G5" s="31">
        <v>1000</v>
      </c>
      <c r="H5" s="29" t="s">
        <v>95</v>
      </c>
      <c r="I5" s="32">
        <v>0.15</v>
      </c>
      <c r="J5" s="34">
        <v>46370</v>
      </c>
      <c r="K5" s="34">
        <v>46372</v>
      </c>
      <c r="L5" s="34">
        <v>46373</v>
      </c>
      <c r="N5" s="23" t="s">
        <v>71</v>
      </c>
      <c r="O5" s="29" t="s">
        <v>93</v>
      </c>
      <c r="P5" s="23" t="s">
        <v>94</v>
      </c>
      <c r="Q5" s="32">
        <v>0.15</v>
      </c>
      <c r="S5" s="34">
        <v>46023</v>
      </c>
      <c r="T5" s="30" t="s">
        <v>104</v>
      </c>
      <c r="V5" s="34">
        <v>46023</v>
      </c>
      <c r="W5" s="30" t="s">
        <v>104</v>
      </c>
      <c r="Y5" s="34">
        <v>46296</v>
      </c>
    </row>
    <row r="6" spans="1:25" x14ac:dyDescent="0.35">
      <c r="A6" s="29" t="s">
        <v>105</v>
      </c>
      <c r="B6" s="29" t="s">
        <v>71</v>
      </c>
      <c r="C6" s="30" t="s">
        <v>106</v>
      </c>
      <c r="D6" s="29" t="s">
        <v>103</v>
      </c>
      <c r="E6" s="29" t="s">
        <v>93</v>
      </c>
      <c r="F6" s="29" t="s">
        <v>94</v>
      </c>
      <c r="G6" s="31">
        <v>1000</v>
      </c>
      <c r="H6" s="29" t="s">
        <v>95</v>
      </c>
      <c r="I6" s="32">
        <v>0.15</v>
      </c>
      <c r="J6" s="34">
        <v>46475</v>
      </c>
      <c r="K6" s="34">
        <v>46477</v>
      </c>
      <c r="L6" s="34">
        <v>46478</v>
      </c>
      <c r="N6" s="23" t="s">
        <v>72</v>
      </c>
      <c r="O6" s="65" t="s">
        <v>93</v>
      </c>
      <c r="P6" s="23" t="s">
        <v>107</v>
      </c>
      <c r="Q6" s="32">
        <v>0.15</v>
      </c>
      <c r="S6" s="34">
        <v>46115</v>
      </c>
      <c r="T6" s="30" t="s">
        <v>108</v>
      </c>
      <c r="V6" s="34">
        <v>46115</v>
      </c>
      <c r="W6" s="30" t="s">
        <v>108</v>
      </c>
      <c r="Y6" s="34">
        <v>46297</v>
      </c>
    </row>
    <row r="7" spans="1:25" x14ac:dyDescent="0.35">
      <c r="A7" s="29" t="s">
        <v>54</v>
      </c>
      <c r="B7" s="29" t="s">
        <v>73</v>
      </c>
      <c r="C7" s="30" t="s">
        <v>109</v>
      </c>
      <c r="D7" s="29" t="s">
        <v>103</v>
      </c>
      <c r="E7" s="29" t="s">
        <v>93</v>
      </c>
      <c r="F7" s="29" t="s">
        <v>94</v>
      </c>
      <c r="G7" s="31">
        <v>1000</v>
      </c>
      <c r="H7" s="29" t="s">
        <v>95</v>
      </c>
      <c r="I7" s="32">
        <v>0.3</v>
      </c>
      <c r="J7" s="34">
        <v>46734</v>
      </c>
      <c r="K7" s="34">
        <v>46736</v>
      </c>
      <c r="L7" s="34">
        <v>46737</v>
      </c>
      <c r="N7" s="23" t="s">
        <v>73</v>
      </c>
      <c r="O7" s="29" t="s">
        <v>93</v>
      </c>
      <c r="P7" s="23" t="s">
        <v>94</v>
      </c>
      <c r="Q7" s="32">
        <v>0.3</v>
      </c>
      <c r="S7" s="34">
        <v>46118</v>
      </c>
      <c r="T7" s="30" t="s">
        <v>110</v>
      </c>
      <c r="V7" s="34">
        <v>46118</v>
      </c>
      <c r="W7" s="30" t="s">
        <v>110</v>
      </c>
      <c r="Y7" s="34">
        <v>46300</v>
      </c>
    </row>
    <row r="8" spans="1:25" x14ac:dyDescent="0.35">
      <c r="A8" s="29" t="s">
        <v>52</v>
      </c>
      <c r="B8" s="29" t="s">
        <v>72</v>
      </c>
      <c r="C8" s="30" t="s">
        <v>111</v>
      </c>
      <c r="D8" s="29" t="s">
        <v>92</v>
      </c>
      <c r="E8" s="65" t="s">
        <v>93</v>
      </c>
      <c r="F8" s="29" t="s">
        <v>107</v>
      </c>
      <c r="G8" s="31">
        <v>1000</v>
      </c>
      <c r="H8" s="29" t="s">
        <v>95</v>
      </c>
      <c r="I8" s="32">
        <v>0.15</v>
      </c>
      <c r="J8" s="29" t="s">
        <v>96</v>
      </c>
      <c r="K8" s="29" t="s">
        <v>97</v>
      </c>
      <c r="L8" s="29" t="s">
        <v>97</v>
      </c>
      <c r="N8" s="23" t="s">
        <v>74</v>
      </c>
      <c r="O8" s="29" t="s">
        <v>112</v>
      </c>
      <c r="P8" s="23" t="s">
        <v>94</v>
      </c>
      <c r="Q8" s="32">
        <v>0.45</v>
      </c>
      <c r="S8" s="34">
        <v>46143</v>
      </c>
      <c r="T8" s="30" t="s">
        <v>113</v>
      </c>
      <c r="V8" s="34">
        <v>46146</v>
      </c>
      <c r="W8" s="30" t="s">
        <v>114</v>
      </c>
      <c r="Y8" s="34">
        <v>46301</v>
      </c>
    </row>
    <row r="9" spans="1:25" x14ac:dyDescent="0.35">
      <c r="A9" s="29" t="s">
        <v>51</v>
      </c>
      <c r="B9" s="29" t="s">
        <v>72</v>
      </c>
      <c r="C9" s="30" t="s">
        <v>115</v>
      </c>
      <c r="D9" s="29" t="s">
        <v>103</v>
      </c>
      <c r="E9" s="65" t="s">
        <v>93</v>
      </c>
      <c r="F9" s="29" t="s">
        <v>107</v>
      </c>
      <c r="G9" s="31">
        <v>1000</v>
      </c>
      <c r="H9" s="29" t="s">
        <v>95</v>
      </c>
      <c r="I9" s="32">
        <v>0.15</v>
      </c>
      <c r="J9" s="34">
        <v>46370</v>
      </c>
      <c r="K9" s="34">
        <v>46372</v>
      </c>
      <c r="L9" s="34">
        <v>46373</v>
      </c>
      <c r="N9" s="23" t="s">
        <v>75</v>
      </c>
      <c r="O9" s="29" t="s">
        <v>112</v>
      </c>
      <c r="P9" s="23" t="s">
        <v>94</v>
      </c>
      <c r="Q9" s="32">
        <v>0.45</v>
      </c>
      <c r="S9" s="34">
        <v>46381</v>
      </c>
      <c r="T9" s="30" t="s">
        <v>116</v>
      </c>
      <c r="V9" s="34">
        <v>46167</v>
      </c>
      <c r="W9" s="30" t="s">
        <v>117</v>
      </c>
      <c r="Y9" s="34">
        <v>46302</v>
      </c>
    </row>
    <row r="10" spans="1:25" x14ac:dyDescent="0.35">
      <c r="A10" s="29" t="s">
        <v>55</v>
      </c>
      <c r="B10" s="29" t="s">
        <v>74</v>
      </c>
      <c r="C10" s="30" t="s">
        <v>118</v>
      </c>
      <c r="D10" s="29" t="s">
        <v>103</v>
      </c>
      <c r="E10" s="29" t="s">
        <v>112</v>
      </c>
      <c r="F10" s="29" t="s">
        <v>94</v>
      </c>
      <c r="G10" s="31">
        <v>1000</v>
      </c>
      <c r="H10" s="29" t="s">
        <v>119</v>
      </c>
      <c r="I10" s="32">
        <v>0.45</v>
      </c>
      <c r="J10" s="34">
        <v>46370</v>
      </c>
      <c r="K10" s="34">
        <v>46372</v>
      </c>
      <c r="L10" s="34">
        <v>46373</v>
      </c>
      <c r="N10" s="23" t="s">
        <v>76</v>
      </c>
      <c r="O10" s="29" t="s">
        <v>112</v>
      </c>
      <c r="P10" s="23" t="s">
        <v>94</v>
      </c>
      <c r="Q10" s="32">
        <v>0.4</v>
      </c>
      <c r="S10" s="34">
        <v>46382</v>
      </c>
      <c r="T10" s="30" t="s">
        <v>120</v>
      </c>
      <c r="V10" s="34">
        <v>46265</v>
      </c>
      <c r="W10" s="30" t="s">
        <v>121</v>
      </c>
      <c r="Y10" s="34">
        <v>46303</v>
      </c>
    </row>
    <row r="11" spans="1:25" x14ac:dyDescent="0.35">
      <c r="A11" s="29" t="s">
        <v>56</v>
      </c>
      <c r="B11" s="29" t="s">
        <v>75</v>
      </c>
      <c r="C11" s="30" t="s">
        <v>122</v>
      </c>
      <c r="D11" s="29" t="s">
        <v>103</v>
      </c>
      <c r="E11" s="29" t="s">
        <v>112</v>
      </c>
      <c r="F11" s="29" t="s">
        <v>94</v>
      </c>
      <c r="G11" s="31">
        <v>1000</v>
      </c>
      <c r="H11" s="29" t="s">
        <v>119</v>
      </c>
      <c r="I11" s="32">
        <v>0.45</v>
      </c>
      <c r="J11" s="34">
        <v>46370</v>
      </c>
      <c r="K11" s="34">
        <v>46372</v>
      </c>
      <c r="L11" s="34">
        <v>46373</v>
      </c>
      <c r="N11" s="23" t="s">
        <v>77</v>
      </c>
      <c r="O11" s="29" t="s">
        <v>112</v>
      </c>
      <c r="P11" s="23" t="s">
        <v>94</v>
      </c>
      <c r="Q11" s="32">
        <v>0.45</v>
      </c>
      <c r="S11" s="34">
        <v>46388</v>
      </c>
      <c r="T11" s="30" t="s">
        <v>104</v>
      </c>
      <c r="V11" s="34">
        <v>46381</v>
      </c>
      <c r="W11" s="30" t="s">
        <v>116</v>
      </c>
      <c r="Y11" s="34">
        <v>46304</v>
      </c>
    </row>
    <row r="12" spans="1:25" x14ac:dyDescent="0.35">
      <c r="A12" s="29" t="s">
        <v>123</v>
      </c>
      <c r="B12" s="29" t="s">
        <v>76</v>
      </c>
      <c r="C12" s="30" t="s">
        <v>124</v>
      </c>
      <c r="D12" s="29" t="s">
        <v>103</v>
      </c>
      <c r="E12" s="29" t="s">
        <v>112</v>
      </c>
      <c r="F12" s="29" t="s">
        <v>94</v>
      </c>
      <c r="G12" s="31">
        <v>1000</v>
      </c>
      <c r="H12" s="29" t="s">
        <v>119</v>
      </c>
      <c r="I12" s="32">
        <v>0.4</v>
      </c>
      <c r="J12" s="34">
        <v>46370</v>
      </c>
      <c r="K12" s="34">
        <v>46372</v>
      </c>
      <c r="L12" s="34">
        <v>46373</v>
      </c>
      <c r="N12" s="23" t="s">
        <v>78</v>
      </c>
      <c r="O12" s="29" t="s">
        <v>112</v>
      </c>
      <c r="P12" s="23" t="s">
        <v>94</v>
      </c>
      <c r="Q12" s="32">
        <v>0.45</v>
      </c>
      <c r="S12" s="34">
        <v>46472</v>
      </c>
      <c r="T12" s="30" t="s">
        <v>108</v>
      </c>
      <c r="V12" s="34">
        <v>46384</v>
      </c>
      <c r="W12" s="30" t="s">
        <v>125</v>
      </c>
      <c r="Y12" s="34">
        <v>46307</v>
      </c>
    </row>
    <row r="13" spans="1:25" x14ac:dyDescent="0.35">
      <c r="A13" s="29" t="s">
        <v>126</v>
      </c>
      <c r="B13" s="29" t="s">
        <v>77</v>
      </c>
      <c r="C13" s="30" t="s">
        <v>127</v>
      </c>
      <c r="D13" s="29" t="s">
        <v>103</v>
      </c>
      <c r="E13" s="29" t="s">
        <v>112</v>
      </c>
      <c r="F13" s="29" t="s">
        <v>94</v>
      </c>
      <c r="G13" s="31">
        <v>1000</v>
      </c>
      <c r="H13" s="29" t="s">
        <v>119</v>
      </c>
      <c r="I13" s="32">
        <v>0.45</v>
      </c>
      <c r="J13" s="34">
        <v>46370</v>
      </c>
      <c r="K13" s="34">
        <v>46372</v>
      </c>
      <c r="L13" s="34">
        <v>46373</v>
      </c>
      <c r="N13" s="23" t="s">
        <v>79</v>
      </c>
      <c r="O13" s="29" t="s">
        <v>112</v>
      </c>
      <c r="P13" s="23" t="s">
        <v>94</v>
      </c>
      <c r="Q13" s="32">
        <v>0.4</v>
      </c>
      <c r="S13" s="34">
        <v>46475</v>
      </c>
      <c r="T13" s="30" t="s">
        <v>110</v>
      </c>
      <c r="V13" s="34">
        <v>46388</v>
      </c>
      <c r="W13" s="30" t="s">
        <v>104</v>
      </c>
      <c r="Y13" s="34">
        <v>46308</v>
      </c>
    </row>
    <row r="14" spans="1:25" x14ac:dyDescent="0.35">
      <c r="A14" s="29" t="s">
        <v>128</v>
      </c>
      <c r="B14" s="29" t="s">
        <v>78</v>
      </c>
      <c r="C14" s="30" t="s">
        <v>129</v>
      </c>
      <c r="D14" s="29" t="s">
        <v>103</v>
      </c>
      <c r="E14" s="29" t="s">
        <v>112</v>
      </c>
      <c r="F14" s="29" t="s">
        <v>94</v>
      </c>
      <c r="G14" s="31">
        <v>1000</v>
      </c>
      <c r="H14" s="29" t="s">
        <v>119</v>
      </c>
      <c r="I14" s="32">
        <v>0.45</v>
      </c>
      <c r="J14" s="34">
        <v>46370</v>
      </c>
      <c r="K14" s="34">
        <v>46372</v>
      </c>
      <c r="L14" s="34">
        <v>46373</v>
      </c>
      <c r="N14" s="63" t="s">
        <v>139</v>
      </c>
      <c r="O14" s="60" t="s">
        <v>139</v>
      </c>
      <c r="P14" s="63" t="s">
        <v>94</v>
      </c>
      <c r="Q14" s="64">
        <v>1</v>
      </c>
      <c r="S14" s="34">
        <v>46508</v>
      </c>
      <c r="T14" s="30" t="s">
        <v>113</v>
      </c>
      <c r="V14" s="34">
        <v>46472</v>
      </c>
      <c r="W14" s="30" t="s">
        <v>108</v>
      </c>
      <c r="Y14" s="34">
        <v>46309</v>
      </c>
    </row>
    <row r="15" spans="1:25" x14ac:dyDescent="0.35">
      <c r="A15" s="29" t="s">
        <v>130</v>
      </c>
      <c r="B15" s="29" t="s">
        <v>79</v>
      </c>
      <c r="C15" s="30" t="s">
        <v>131</v>
      </c>
      <c r="D15" s="29" t="s">
        <v>103</v>
      </c>
      <c r="E15" s="29" t="s">
        <v>112</v>
      </c>
      <c r="F15" s="29" t="s">
        <v>94</v>
      </c>
      <c r="G15" s="31">
        <v>1000</v>
      </c>
      <c r="H15" s="29" t="s">
        <v>119</v>
      </c>
      <c r="I15" s="32">
        <v>0.4</v>
      </c>
      <c r="J15" s="34">
        <v>46370</v>
      </c>
      <c r="K15" s="34">
        <v>46372</v>
      </c>
      <c r="L15" s="34">
        <v>46373</v>
      </c>
      <c r="S15" s="34">
        <v>46746</v>
      </c>
      <c r="T15" s="30" t="s">
        <v>116</v>
      </c>
      <c r="V15" s="34">
        <v>46475</v>
      </c>
      <c r="W15" s="30" t="s">
        <v>110</v>
      </c>
      <c r="Y15" s="34">
        <v>46310</v>
      </c>
    </row>
    <row r="16" spans="1:25" x14ac:dyDescent="0.35">
      <c r="A16" s="60" t="s">
        <v>141</v>
      </c>
      <c r="B16" s="60" t="s">
        <v>139</v>
      </c>
      <c r="C16" s="61" t="s">
        <v>144</v>
      </c>
      <c r="D16" s="52" t="s">
        <v>92</v>
      </c>
      <c r="E16" s="52" t="s">
        <v>139</v>
      </c>
      <c r="F16" s="52" t="s">
        <v>94</v>
      </c>
      <c r="G16" s="62">
        <v>1</v>
      </c>
      <c r="H16" s="60" t="s">
        <v>140</v>
      </c>
      <c r="I16" s="53">
        <v>1</v>
      </c>
      <c r="J16" s="29" t="s">
        <v>96</v>
      </c>
      <c r="K16" s="29" t="s">
        <v>97</v>
      </c>
      <c r="L16" s="29" t="s">
        <v>97</v>
      </c>
      <c r="S16" s="34">
        <v>46747</v>
      </c>
      <c r="T16" s="30" t="s">
        <v>120</v>
      </c>
      <c r="V16" s="34">
        <v>46510</v>
      </c>
      <c r="W16" s="30" t="s">
        <v>114</v>
      </c>
      <c r="Y16" s="34">
        <v>46311</v>
      </c>
    </row>
    <row r="17" spans="22:25" x14ac:dyDescent="0.35">
      <c r="V17" s="34">
        <v>46538</v>
      </c>
      <c r="W17" s="30" t="s">
        <v>117</v>
      </c>
      <c r="Y17" s="34">
        <v>46314</v>
      </c>
    </row>
    <row r="18" spans="22:25" x14ac:dyDescent="0.35">
      <c r="V18" s="34">
        <v>46629</v>
      </c>
      <c r="W18" s="30" t="s">
        <v>121</v>
      </c>
      <c r="Y18" s="34">
        <v>46315</v>
      </c>
    </row>
    <row r="19" spans="22:25" x14ac:dyDescent="0.35">
      <c r="V19" s="34">
        <v>46748</v>
      </c>
      <c r="W19" s="30" t="s">
        <v>132</v>
      </c>
      <c r="Y19" s="34">
        <v>46316</v>
      </c>
    </row>
    <row r="20" spans="22:25" x14ac:dyDescent="0.35">
      <c r="V20" s="34">
        <v>46749</v>
      </c>
      <c r="W20" s="30" t="s">
        <v>125</v>
      </c>
      <c r="Y20" s="34">
        <v>46317</v>
      </c>
    </row>
    <row r="21" spans="22:25" x14ac:dyDescent="0.35">
      <c r="Y21" s="34">
        <v>46318</v>
      </c>
    </row>
    <row r="22" spans="22:25" x14ac:dyDescent="0.35">
      <c r="Y22" s="34">
        <v>46321</v>
      </c>
    </row>
    <row r="23" spans="22:25" x14ac:dyDescent="0.35">
      <c r="Y23" s="34">
        <v>46322</v>
      </c>
    </row>
    <row r="24" spans="22:25" x14ac:dyDescent="0.35">
      <c r="Y24" s="34">
        <v>46323</v>
      </c>
    </row>
    <row r="25" spans="22:25" x14ac:dyDescent="0.35">
      <c r="Y25" s="34">
        <v>46324</v>
      </c>
    </row>
    <row r="26" spans="22:25" x14ac:dyDescent="0.35">
      <c r="Y26" s="34">
        <v>46325</v>
      </c>
    </row>
    <row r="27" spans="22:25" x14ac:dyDescent="0.35">
      <c r="Y27" s="34">
        <v>46328</v>
      </c>
    </row>
    <row r="28" spans="22:25" x14ac:dyDescent="0.35">
      <c r="Y28" s="34">
        <v>46329</v>
      </c>
    </row>
    <row r="29" spans="22:25" x14ac:dyDescent="0.35">
      <c r="Y29" s="34">
        <v>46330</v>
      </c>
    </row>
    <row r="30" spans="22:25" x14ac:dyDescent="0.35">
      <c r="Y30" s="34">
        <v>46331</v>
      </c>
    </row>
    <row r="31" spans="22:25" x14ac:dyDescent="0.35">
      <c r="Y31" s="34">
        <v>46332</v>
      </c>
    </row>
    <row r="32" spans="22:25" x14ac:dyDescent="0.35">
      <c r="Y32" s="34">
        <v>46335</v>
      </c>
    </row>
    <row r="33" spans="25:25" x14ac:dyDescent="0.35">
      <c r="Y33" s="34">
        <v>46336</v>
      </c>
    </row>
    <row r="34" spans="25:25" x14ac:dyDescent="0.35">
      <c r="Y34" s="34">
        <v>46337</v>
      </c>
    </row>
    <row r="35" spans="25:25" x14ac:dyDescent="0.35">
      <c r="Y35" s="34">
        <v>46338</v>
      </c>
    </row>
    <row r="36" spans="25:25" x14ac:dyDescent="0.35">
      <c r="Y36" s="34">
        <v>46339</v>
      </c>
    </row>
    <row r="37" spans="25:25" x14ac:dyDescent="0.35">
      <c r="Y37" s="34">
        <v>46342</v>
      </c>
    </row>
    <row r="38" spans="25:25" x14ac:dyDescent="0.35">
      <c r="Y38" s="34">
        <v>46343</v>
      </c>
    </row>
    <row r="39" spans="25:25" x14ac:dyDescent="0.35">
      <c r="Y39" s="34">
        <v>46344</v>
      </c>
    </row>
    <row r="40" spans="25:25" x14ac:dyDescent="0.35">
      <c r="Y40" s="34">
        <v>46345</v>
      </c>
    </row>
    <row r="41" spans="25:25" x14ac:dyDescent="0.35">
      <c r="Y41" s="34">
        <v>46346</v>
      </c>
    </row>
    <row r="42" spans="25:25" x14ac:dyDescent="0.35">
      <c r="Y42" s="34">
        <v>46349</v>
      </c>
    </row>
    <row r="43" spans="25:25" x14ac:dyDescent="0.35">
      <c r="Y43" s="34">
        <v>46350</v>
      </c>
    </row>
    <row r="44" spans="25:25" x14ac:dyDescent="0.35">
      <c r="Y44" s="34">
        <v>46351</v>
      </c>
    </row>
    <row r="45" spans="25:25" x14ac:dyDescent="0.35">
      <c r="Y45" s="34">
        <v>46352</v>
      </c>
    </row>
    <row r="46" spans="25:25" x14ac:dyDescent="0.35">
      <c r="Y46" s="34">
        <v>46353</v>
      </c>
    </row>
    <row r="47" spans="25:25" x14ac:dyDescent="0.35">
      <c r="Y47" s="34">
        <v>46356</v>
      </c>
    </row>
    <row r="48" spans="25:25" x14ac:dyDescent="0.35">
      <c r="Y48" s="34">
        <v>46357</v>
      </c>
    </row>
    <row r="49" spans="25:25" x14ac:dyDescent="0.35">
      <c r="Y49" s="34">
        <v>46358</v>
      </c>
    </row>
    <row r="50" spans="25:25" x14ac:dyDescent="0.35">
      <c r="Y50" s="34">
        <v>46359</v>
      </c>
    </row>
    <row r="51" spans="25:25" x14ac:dyDescent="0.35">
      <c r="Y51" s="34">
        <v>46360</v>
      </c>
    </row>
    <row r="52" spans="25:25" x14ac:dyDescent="0.35">
      <c r="Y52" s="34">
        <v>46363</v>
      </c>
    </row>
    <row r="53" spans="25:25" x14ac:dyDescent="0.35">
      <c r="Y53" s="34">
        <v>46364</v>
      </c>
    </row>
    <row r="54" spans="25:25" x14ac:dyDescent="0.35">
      <c r="Y54" s="34">
        <v>46365</v>
      </c>
    </row>
    <row r="55" spans="25:25" x14ac:dyDescent="0.35">
      <c r="Y55" s="34">
        <v>46366</v>
      </c>
    </row>
    <row r="56" spans="25:25" x14ac:dyDescent="0.35">
      <c r="Y56" s="34">
        <v>46367</v>
      </c>
    </row>
    <row r="57" spans="25:25" x14ac:dyDescent="0.35">
      <c r="Y57" s="34">
        <v>46370</v>
      </c>
    </row>
    <row r="58" spans="25:25" x14ac:dyDescent="0.35">
      <c r="Y58" s="34">
        <v>46371</v>
      </c>
    </row>
    <row r="59" spans="25:25" x14ac:dyDescent="0.35">
      <c r="Y59" s="34">
        <v>46372</v>
      </c>
    </row>
    <row r="60" spans="25:25" x14ac:dyDescent="0.35">
      <c r="Y60" s="34">
        <v>46373</v>
      </c>
    </row>
    <row r="61" spans="25:25" x14ac:dyDescent="0.35">
      <c r="Y61" s="34">
        <v>46374</v>
      </c>
    </row>
    <row r="62" spans="25:25" x14ac:dyDescent="0.35">
      <c r="Y62" s="34">
        <v>46377</v>
      </c>
    </row>
    <row r="63" spans="25:25" x14ac:dyDescent="0.35">
      <c r="Y63" s="34">
        <v>46378</v>
      </c>
    </row>
    <row r="64" spans="25:25" x14ac:dyDescent="0.35">
      <c r="Y64" s="34">
        <v>46379</v>
      </c>
    </row>
    <row r="65" spans="25:25" x14ac:dyDescent="0.35">
      <c r="Y65" s="34">
        <v>46380</v>
      </c>
    </row>
    <row r="66" spans="25:25" x14ac:dyDescent="0.35">
      <c r="Y66" s="34">
        <v>46384</v>
      </c>
    </row>
    <row r="67" spans="25:25" x14ac:dyDescent="0.35">
      <c r="Y67" s="34">
        <v>46385</v>
      </c>
    </row>
    <row r="68" spans="25:25" x14ac:dyDescent="0.35">
      <c r="Y68" s="34">
        <v>46386</v>
      </c>
    </row>
    <row r="69" spans="25:25" x14ac:dyDescent="0.35">
      <c r="Y69" s="34">
        <v>46387</v>
      </c>
    </row>
    <row r="70" spans="25:25" x14ac:dyDescent="0.35">
      <c r="Y70" s="34">
        <v>46391</v>
      </c>
    </row>
    <row r="71" spans="25:25" x14ac:dyDescent="0.35">
      <c r="Y71" s="34">
        <v>46392</v>
      </c>
    </row>
    <row r="72" spans="25:25" x14ac:dyDescent="0.35">
      <c r="Y72" s="34">
        <v>46393</v>
      </c>
    </row>
    <row r="73" spans="25:25" x14ac:dyDescent="0.35">
      <c r="Y73" s="34">
        <v>46394</v>
      </c>
    </row>
    <row r="74" spans="25:25" x14ac:dyDescent="0.35">
      <c r="Y74" s="34">
        <v>46395</v>
      </c>
    </row>
    <row r="75" spans="25:25" x14ac:dyDescent="0.35">
      <c r="Y75" s="34">
        <v>46398</v>
      </c>
    </row>
    <row r="76" spans="25:25" x14ac:dyDescent="0.35">
      <c r="Y76" s="34">
        <v>46399</v>
      </c>
    </row>
    <row r="77" spans="25:25" x14ac:dyDescent="0.35">
      <c r="Y77" s="34">
        <v>46400</v>
      </c>
    </row>
    <row r="78" spans="25:25" x14ac:dyDescent="0.35">
      <c r="Y78" s="34">
        <v>46401</v>
      </c>
    </row>
    <row r="79" spans="25:25" x14ac:dyDescent="0.35">
      <c r="Y79" s="34">
        <v>46402</v>
      </c>
    </row>
    <row r="80" spans="25:25" x14ac:dyDescent="0.35">
      <c r="Y80" s="34">
        <v>46405</v>
      </c>
    </row>
    <row r="81" spans="25:25" x14ac:dyDescent="0.35">
      <c r="Y81" s="34">
        <v>46406</v>
      </c>
    </row>
    <row r="82" spans="25:25" x14ac:dyDescent="0.35">
      <c r="Y82" s="34">
        <v>46407</v>
      </c>
    </row>
    <row r="83" spans="25:25" x14ac:dyDescent="0.35">
      <c r="Y83" s="34">
        <v>46408</v>
      </c>
    </row>
    <row r="84" spans="25:25" x14ac:dyDescent="0.35">
      <c r="Y84" s="34">
        <v>46409</v>
      </c>
    </row>
    <row r="85" spans="25:25" x14ac:dyDescent="0.35">
      <c r="Y85" s="34">
        <v>46412</v>
      </c>
    </row>
    <row r="86" spans="25:25" x14ac:dyDescent="0.35">
      <c r="Y86" s="34">
        <v>46413</v>
      </c>
    </row>
    <row r="87" spans="25:25" x14ac:dyDescent="0.35">
      <c r="Y87" s="34">
        <v>46414</v>
      </c>
    </row>
    <row r="88" spans="25:25" x14ac:dyDescent="0.35">
      <c r="Y88" s="34">
        <v>46415</v>
      </c>
    </row>
    <row r="89" spans="25:25" x14ac:dyDescent="0.35">
      <c r="Y89" s="34">
        <v>46416</v>
      </c>
    </row>
    <row r="90" spans="25:25" x14ac:dyDescent="0.35">
      <c r="Y90" s="34">
        <v>46419</v>
      </c>
    </row>
    <row r="91" spans="25:25" x14ac:dyDescent="0.35">
      <c r="Y91" s="34">
        <v>46420</v>
      </c>
    </row>
    <row r="92" spans="25:25" x14ac:dyDescent="0.35">
      <c r="Y92" s="34">
        <v>46421</v>
      </c>
    </row>
    <row r="93" spans="25:25" x14ac:dyDescent="0.35">
      <c r="Y93" s="34">
        <v>46422</v>
      </c>
    </row>
    <row r="94" spans="25:25" x14ac:dyDescent="0.35">
      <c r="Y94" s="34">
        <v>46423</v>
      </c>
    </row>
    <row r="95" spans="25:25" x14ac:dyDescent="0.35">
      <c r="Y95" s="34">
        <v>46426</v>
      </c>
    </row>
    <row r="96" spans="25:25" x14ac:dyDescent="0.35">
      <c r="Y96" s="34">
        <v>46427</v>
      </c>
    </row>
    <row r="97" spans="25:25" x14ac:dyDescent="0.35">
      <c r="Y97" s="34">
        <v>46428</v>
      </c>
    </row>
    <row r="98" spans="25:25" x14ac:dyDescent="0.35">
      <c r="Y98" s="34">
        <v>46429</v>
      </c>
    </row>
    <row r="99" spans="25:25" x14ac:dyDescent="0.35">
      <c r="Y99" s="34">
        <v>46430</v>
      </c>
    </row>
    <row r="100" spans="25:25" x14ac:dyDescent="0.35">
      <c r="Y100" s="34">
        <v>46433</v>
      </c>
    </row>
    <row r="101" spans="25:25" x14ac:dyDescent="0.35">
      <c r="Y101" s="34">
        <v>46434</v>
      </c>
    </row>
    <row r="102" spans="25:25" x14ac:dyDescent="0.35">
      <c r="Y102" s="34">
        <v>46435</v>
      </c>
    </row>
    <row r="103" spans="25:25" x14ac:dyDescent="0.35">
      <c r="Y103" s="34">
        <v>46436</v>
      </c>
    </row>
    <row r="104" spans="25:25" x14ac:dyDescent="0.35">
      <c r="Y104" s="34">
        <v>46437</v>
      </c>
    </row>
    <row r="105" spans="25:25" x14ac:dyDescent="0.35">
      <c r="Y105" s="34">
        <v>46440</v>
      </c>
    </row>
    <row r="106" spans="25:25" x14ac:dyDescent="0.35">
      <c r="Y106" s="34">
        <v>46441</v>
      </c>
    </row>
    <row r="107" spans="25:25" x14ac:dyDescent="0.35">
      <c r="Y107" s="34">
        <v>46442</v>
      </c>
    </row>
    <row r="108" spans="25:25" x14ac:dyDescent="0.35">
      <c r="Y108" s="34">
        <v>46443</v>
      </c>
    </row>
    <row r="109" spans="25:25" x14ac:dyDescent="0.35">
      <c r="Y109" s="34">
        <v>46444</v>
      </c>
    </row>
    <row r="110" spans="25:25" x14ac:dyDescent="0.35">
      <c r="Y110" s="34">
        <v>46447</v>
      </c>
    </row>
    <row r="111" spans="25:25" x14ac:dyDescent="0.35">
      <c r="Y111" s="34">
        <v>46448</v>
      </c>
    </row>
    <row r="112" spans="25:25" x14ac:dyDescent="0.35">
      <c r="Y112" s="34">
        <v>46449</v>
      </c>
    </row>
    <row r="113" spans="25:25" x14ac:dyDescent="0.35">
      <c r="Y113" s="34">
        <v>46450</v>
      </c>
    </row>
    <row r="114" spans="25:25" x14ac:dyDescent="0.35">
      <c r="Y114" s="34">
        <v>46451</v>
      </c>
    </row>
    <row r="115" spans="25:25" x14ac:dyDescent="0.35">
      <c r="Y115" s="34">
        <v>46454</v>
      </c>
    </row>
    <row r="116" spans="25:25" x14ac:dyDescent="0.35">
      <c r="Y116" s="34">
        <v>46455</v>
      </c>
    </row>
    <row r="117" spans="25:25" x14ac:dyDescent="0.35">
      <c r="Y117" s="34">
        <v>46456</v>
      </c>
    </row>
    <row r="118" spans="25:25" x14ac:dyDescent="0.35">
      <c r="Y118" s="34">
        <v>46457</v>
      </c>
    </row>
    <row r="119" spans="25:25" x14ac:dyDescent="0.35">
      <c r="Y119" s="34">
        <v>46458</v>
      </c>
    </row>
    <row r="120" spans="25:25" x14ac:dyDescent="0.35">
      <c r="Y120" s="34">
        <v>46461</v>
      </c>
    </row>
    <row r="121" spans="25:25" x14ac:dyDescent="0.35">
      <c r="Y121" s="34">
        <v>46462</v>
      </c>
    </row>
    <row r="122" spans="25:25" x14ac:dyDescent="0.35">
      <c r="Y122" s="34">
        <v>46463</v>
      </c>
    </row>
    <row r="123" spans="25:25" x14ac:dyDescent="0.35">
      <c r="Y123" s="34">
        <v>46464</v>
      </c>
    </row>
    <row r="124" spans="25:25" x14ac:dyDescent="0.35">
      <c r="Y124" s="34">
        <v>46465</v>
      </c>
    </row>
    <row r="125" spans="25:25" x14ac:dyDescent="0.35">
      <c r="Y125" s="34">
        <v>46468</v>
      </c>
    </row>
    <row r="126" spans="25:25" x14ac:dyDescent="0.35">
      <c r="Y126" s="34">
        <v>46469</v>
      </c>
    </row>
    <row r="127" spans="25:25" x14ac:dyDescent="0.35">
      <c r="Y127" s="34">
        <v>46470</v>
      </c>
    </row>
    <row r="128" spans="25:25" x14ac:dyDescent="0.35">
      <c r="Y128" s="34">
        <v>46471</v>
      </c>
    </row>
    <row r="129" spans="25:25" x14ac:dyDescent="0.35">
      <c r="Y129" s="34">
        <v>46476</v>
      </c>
    </row>
    <row r="130" spans="25:25" x14ac:dyDescent="0.35">
      <c r="Y130" s="34">
        <v>46477</v>
      </c>
    </row>
    <row r="131" spans="25:25" x14ac:dyDescent="0.35">
      <c r="Y131" s="34">
        <v>46478</v>
      </c>
    </row>
    <row r="132" spans="25:25" x14ac:dyDescent="0.35">
      <c r="Y132" s="34">
        <v>46479</v>
      </c>
    </row>
    <row r="133" spans="25:25" x14ac:dyDescent="0.35">
      <c r="Y133" s="34">
        <v>46482</v>
      </c>
    </row>
    <row r="134" spans="25:25" x14ac:dyDescent="0.35">
      <c r="Y134" s="34">
        <v>46483</v>
      </c>
    </row>
    <row r="135" spans="25:25" x14ac:dyDescent="0.35">
      <c r="Y135" s="34">
        <v>46484</v>
      </c>
    </row>
    <row r="136" spans="25:25" x14ac:dyDescent="0.35">
      <c r="Y136" s="34">
        <v>46485</v>
      </c>
    </row>
    <row r="137" spans="25:25" x14ac:dyDescent="0.35">
      <c r="Y137" s="34">
        <v>46486</v>
      </c>
    </row>
    <row r="138" spans="25:25" x14ac:dyDescent="0.35">
      <c r="Y138" s="34">
        <v>46489</v>
      </c>
    </row>
    <row r="139" spans="25:25" x14ac:dyDescent="0.35">
      <c r="Y139" s="34">
        <v>46490</v>
      </c>
    </row>
    <row r="140" spans="25:25" x14ac:dyDescent="0.35">
      <c r="Y140" s="34">
        <v>46491</v>
      </c>
    </row>
    <row r="141" spans="25:25" x14ac:dyDescent="0.35">
      <c r="Y141" s="34">
        <v>46492</v>
      </c>
    </row>
    <row r="142" spans="25:25" x14ac:dyDescent="0.35">
      <c r="Y142" s="34">
        <v>46493</v>
      </c>
    </row>
    <row r="143" spans="25:25" x14ac:dyDescent="0.35">
      <c r="Y143" s="34">
        <v>46496</v>
      </c>
    </row>
    <row r="144" spans="25:25" x14ac:dyDescent="0.35">
      <c r="Y144" s="34">
        <v>46497</v>
      </c>
    </row>
    <row r="145" spans="25:25" x14ac:dyDescent="0.35">
      <c r="Y145" s="34">
        <v>46498</v>
      </c>
    </row>
    <row r="146" spans="25:25" x14ac:dyDescent="0.35">
      <c r="Y146" s="34">
        <v>46499</v>
      </c>
    </row>
    <row r="147" spans="25:25" x14ac:dyDescent="0.35">
      <c r="Y147" s="34">
        <v>46500</v>
      </c>
    </row>
    <row r="148" spans="25:25" x14ac:dyDescent="0.35">
      <c r="Y148" s="34">
        <v>46503</v>
      </c>
    </row>
    <row r="149" spans="25:25" x14ac:dyDescent="0.35">
      <c r="Y149" s="34">
        <v>46504</v>
      </c>
    </row>
    <row r="150" spans="25:25" x14ac:dyDescent="0.35">
      <c r="Y150" s="34">
        <v>46505</v>
      </c>
    </row>
    <row r="151" spans="25:25" x14ac:dyDescent="0.35">
      <c r="Y151" s="34">
        <v>46506</v>
      </c>
    </row>
    <row r="152" spans="25:25" x14ac:dyDescent="0.35">
      <c r="Y152" s="34">
        <v>46507</v>
      </c>
    </row>
    <row r="153" spans="25:25" x14ac:dyDescent="0.35">
      <c r="Y153" s="34">
        <v>46510</v>
      </c>
    </row>
    <row r="154" spans="25:25" x14ac:dyDescent="0.35">
      <c r="Y154" s="34">
        <v>46511</v>
      </c>
    </row>
    <row r="155" spans="25:25" x14ac:dyDescent="0.35">
      <c r="Y155" s="34">
        <v>46512</v>
      </c>
    </row>
    <row r="156" spans="25:25" x14ac:dyDescent="0.35">
      <c r="Y156" s="34">
        <v>46513</v>
      </c>
    </row>
    <row r="157" spans="25:25" x14ac:dyDescent="0.35">
      <c r="Y157" s="34">
        <v>46514</v>
      </c>
    </row>
    <row r="158" spans="25:25" x14ac:dyDescent="0.35">
      <c r="Y158" s="34">
        <v>46517</v>
      </c>
    </row>
    <row r="159" spans="25:25" x14ac:dyDescent="0.35">
      <c r="Y159" s="34">
        <v>46518</v>
      </c>
    </row>
    <row r="160" spans="25:25" x14ac:dyDescent="0.35">
      <c r="Y160" s="34">
        <v>46519</v>
      </c>
    </row>
    <row r="161" spans="25:25" x14ac:dyDescent="0.35">
      <c r="Y161" s="34">
        <v>46520</v>
      </c>
    </row>
    <row r="162" spans="25:25" x14ac:dyDescent="0.35">
      <c r="Y162" s="34">
        <v>46521</v>
      </c>
    </row>
    <row r="163" spans="25:25" x14ac:dyDescent="0.35">
      <c r="Y163" s="34">
        <v>46524</v>
      </c>
    </row>
    <row r="164" spans="25:25" x14ac:dyDescent="0.35">
      <c r="Y164" s="34">
        <v>46525</v>
      </c>
    </row>
    <row r="165" spans="25:25" x14ac:dyDescent="0.35">
      <c r="Y165" s="34">
        <v>46526</v>
      </c>
    </row>
    <row r="166" spans="25:25" x14ac:dyDescent="0.35">
      <c r="Y166" s="34">
        <v>46527</v>
      </c>
    </row>
    <row r="167" spans="25:25" x14ac:dyDescent="0.35">
      <c r="Y167" s="34">
        <v>46528</v>
      </c>
    </row>
    <row r="168" spans="25:25" x14ac:dyDescent="0.35">
      <c r="Y168" s="34">
        <v>46531</v>
      </c>
    </row>
    <row r="169" spans="25:25" x14ac:dyDescent="0.35">
      <c r="Y169" s="34">
        <v>46532</v>
      </c>
    </row>
    <row r="170" spans="25:25" x14ac:dyDescent="0.35">
      <c r="Y170" s="34">
        <v>46533</v>
      </c>
    </row>
    <row r="171" spans="25:25" x14ac:dyDescent="0.35">
      <c r="Y171" s="34">
        <v>46534</v>
      </c>
    </row>
    <row r="172" spans="25:25" x14ac:dyDescent="0.35">
      <c r="Y172" s="34">
        <v>46535</v>
      </c>
    </row>
    <row r="173" spans="25:25" x14ac:dyDescent="0.35">
      <c r="Y173" s="34">
        <v>46538</v>
      </c>
    </row>
    <row r="174" spans="25:25" x14ac:dyDescent="0.35">
      <c r="Y174" s="34">
        <v>46539</v>
      </c>
    </row>
    <row r="175" spans="25:25" x14ac:dyDescent="0.35">
      <c r="Y175" s="34">
        <v>46540</v>
      </c>
    </row>
    <row r="176" spans="25:25" x14ac:dyDescent="0.35">
      <c r="Y176" s="34">
        <v>46541</v>
      </c>
    </row>
    <row r="177" spans="25:25" x14ac:dyDescent="0.35">
      <c r="Y177" s="34">
        <v>46542</v>
      </c>
    </row>
    <row r="178" spans="25:25" x14ac:dyDescent="0.35">
      <c r="Y178" s="34">
        <v>46545</v>
      </c>
    </row>
    <row r="179" spans="25:25" x14ac:dyDescent="0.35">
      <c r="Y179" s="34">
        <v>46546</v>
      </c>
    </row>
    <row r="180" spans="25:25" x14ac:dyDescent="0.35">
      <c r="Y180" s="34">
        <v>46547</v>
      </c>
    </row>
    <row r="181" spans="25:25" x14ac:dyDescent="0.35">
      <c r="Y181" s="34">
        <v>46548</v>
      </c>
    </row>
    <row r="182" spans="25:25" x14ac:dyDescent="0.35">
      <c r="Y182" s="34">
        <v>46549</v>
      </c>
    </row>
    <row r="183" spans="25:25" x14ac:dyDescent="0.35">
      <c r="Y183" s="34">
        <v>46552</v>
      </c>
    </row>
    <row r="184" spans="25:25" x14ac:dyDescent="0.35">
      <c r="Y184" s="34">
        <v>46553</v>
      </c>
    </row>
    <row r="185" spans="25:25" x14ac:dyDescent="0.35">
      <c r="Y185" s="34">
        <v>46554</v>
      </c>
    </row>
    <row r="186" spans="25:25" x14ac:dyDescent="0.35">
      <c r="Y186" s="34">
        <v>46555</v>
      </c>
    </row>
    <row r="187" spans="25:25" x14ac:dyDescent="0.35">
      <c r="Y187" s="34">
        <v>46556</v>
      </c>
    </row>
    <row r="188" spans="25:25" x14ac:dyDescent="0.35">
      <c r="Y188" s="34">
        <v>46559</v>
      </c>
    </row>
    <row r="189" spans="25:25" x14ac:dyDescent="0.35">
      <c r="Y189" s="34">
        <v>46560</v>
      </c>
    </row>
    <row r="190" spans="25:25" x14ac:dyDescent="0.35">
      <c r="Y190" s="34">
        <v>46561</v>
      </c>
    </row>
    <row r="191" spans="25:25" x14ac:dyDescent="0.35">
      <c r="Y191" s="34">
        <v>46562</v>
      </c>
    </row>
    <row r="192" spans="25:25" x14ac:dyDescent="0.35">
      <c r="Y192" s="34">
        <v>46563</v>
      </c>
    </row>
    <row r="193" spans="25:25" x14ac:dyDescent="0.35">
      <c r="Y193" s="34">
        <v>46566</v>
      </c>
    </row>
    <row r="194" spans="25:25" x14ac:dyDescent="0.35">
      <c r="Y194" s="34">
        <v>46567</v>
      </c>
    </row>
    <row r="195" spans="25:25" x14ac:dyDescent="0.35">
      <c r="Y195" s="34">
        <v>46568</v>
      </c>
    </row>
    <row r="196" spans="25:25" x14ac:dyDescent="0.35">
      <c r="Y196" s="34">
        <v>46569</v>
      </c>
    </row>
    <row r="197" spans="25:25" x14ac:dyDescent="0.35">
      <c r="Y197" s="34">
        <v>46570</v>
      </c>
    </row>
    <row r="198" spans="25:25" x14ac:dyDescent="0.35">
      <c r="Y198" s="34">
        <v>46573</v>
      </c>
    </row>
    <row r="199" spans="25:25" x14ac:dyDescent="0.35">
      <c r="Y199" s="34">
        <v>46574</v>
      </c>
    </row>
    <row r="200" spans="25:25" x14ac:dyDescent="0.35">
      <c r="Y200" s="34">
        <v>46575</v>
      </c>
    </row>
    <row r="201" spans="25:25" x14ac:dyDescent="0.35">
      <c r="Y201" s="34">
        <v>46576</v>
      </c>
    </row>
    <row r="202" spans="25:25" x14ac:dyDescent="0.35">
      <c r="Y202" s="34">
        <v>46577</v>
      </c>
    </row>
    <row r="203" spans="25:25" x14ac:dyDescent="0.35">
      <c r="Y203" s="34">
        <v>46580</v>
      </c>
    </row>
    <row r="204" spans="25:25" x14ac:dyDescent="0.35">
      <c r="Y204" s="34">
        <v>46581</v>
      </c>
    </row>
    <row r="205" spans="25:25" x14ac:dyDescent="0.35">
      <c r="Y205" s="34">
        <v>46582</v>
      </c>
    </row>
    <row r="206" spans="25:25" x14ac:dyDescent="0.35">
      <c r="Y206" s="34">
        <v>46583</v>
      </c>
    </row>
    <row r="207" spans="25:25" x14ac:dyDescent="0.35">
      <c r="Y207" s="34">
        <v>46584</v>
      </c>
    </row>
    <row r="208" spans="25:25" x14ac:dyDescent="0.35">
      <c r="Y208" s="34">
        <v>46587</v>
      </c>
    </row>
    <row r="209" spans="25:25" x14ac:dyDescent="0.35">
      <c r="Y209" s="34">
        <v>46588</v>
      </c>
    </row>
    <row r="210" spans="25:25" x14ac:dyDescent="0.35">
      <c r="Y210" s="34">
        <v>46589</v>
      </c>
    </row>
    <row r="211" spans="25:25" x14ac:dyDescent="0.35">
      <c r="Y211" s="34">
        <v>46590</v>
      </c>
    </row>
    <row r="212" spans="25:25" x14ac:dyDescent="0.35">
      <c r="Y212" s="34">
        <v>46591</v>
      </c>
    </row>
    <row r="213" spans="25:25" x14ac:dyDescent="0.35">
      <c r="Y213" s="34">
        <v>46594</v>
      </c>
    </row>
    <row r="214" spans="25:25" x14ac:dyDescent="0.35">
      <c r="Y214" s="34">
        <v>46595</v>
      </c>
    </row>
    <row r="215" spans="25:25" x14ac:dyDescent="0.35">
      <c r="Y215" s="34">
        <v>46596</v>
      </c>
    </row>
    <row r="216" spans="25:25" x14ac:dyDescent="0.35">
      <c r="Y216" s="34">
        <v>46597</v>
      </c>
    </row>
    <row r="217" spans="25:25" x14ac:dyDescent="0.35">
      <c r="Y217" s="34">
        <v>46598</v>
      </c>
    </row>
    <row r="218" spans="25:25" x14ac:dyDescent="0.35">
      <c r="Y218" s="34">
        <v>46601</v>
      </c>
    </row>
    <row r="219" spans="25:25" x14ac:dyDescent="0.35">
      <c r="Y219" s="34">
        <v>46602</v>
      </c>
    </row>
    <row r="220" spans="25:25" x14ac:dyDescent="0.35">
      <c r="Y220" s="34">
        <v>46603</v>
      </c>
    </row>
    <row r="221" spans="25:25" x14ac:dyDescent="0.35">
      <c r="Y221" s="34">
        <v>46604</v>
      </c>
    </row>
    <row r="222" spans="25:25" x14ac:dyDescent="0.35">
      <c r="Y222" s="34">
        <v>46605</v>
      </c>
    </row>
    <row r="223" spans="25:25" x14ac:dyDescent="0.35">
      <c r="Y223" s="34">
        <v>46608</v>
      </c>
    </row>
    <row r="224" spans="25:25" x14ac:dyDescent="0.35">
      <c r="Y224" s="34">
        <v>46609</v>
      </c>
    </row>
    <row r="225" spans="25:25" x14ac:dyDescent="0.35">
      <c r="Y225" s="34">
        <v>46610</v>
      </c>
    </row>
    <row r="226" spans="25:25" x14ac:dyDescent="0.35">
      <c r="Y226" s="34">
        <v>46611</v>
      </c>
    </row>
    <row r="227" spans="25:25" x14ac:dyDescent="0.35">
      <c r="Y227" s="34">
        <v>46612</v>
      </c>
    </row>
    <row r="228" spans="25:25" x14ac:dyDescent="0.35">
      <c r="Y228" s="34">
        <v>46615</v>
      </c>
    </row>
    <row r="229" spans="25:25" x14ac:dyDescent="0.35">
      <c r="Y229" s="34">
        <v>46616</v>
      </c>
    </row>
    <row r="230" spans="25:25" x14ac:dyDescent="0.35">
      <c r="Y230" s="34">
        <v>46617</v>
      </c>
    </row>
    <row r="231" spans="25:25" x14ac:dyDescent="0.35">
      <c r="Y231" s="34">
        <v>46618</v>
      </c>
    </row>
    <row r="232" spans="25:25" x14ac:dyDescent="0.35">
      <c r="Y232" s="34">
        <v>46619</v>
      </c>
    </row>
    <row r="233" spans="25:25" x14ac:dyDescent="0.35">
      <c r="Y233" s="34">
        <v>46622</v>
      </c>
    </row>
    <row r="234" spans="25:25" x14ac:dyDescent="0.35">
      <c r="Y234" s="34">
        <v>46623</v>
      </c>
    </row>
    <row r="235" spans="25:25" x14ac:dyDescent="0.35">
      <c r="Y235" s="34">
        <v>46624</v>
      </c>
    </row>
    <row r="236" spans="25:25" x14ac:dyDescent="0.35">
      <c r="Y236" s="34">
        <v>46625</v>
      </c>
    </row>
    <row r="237" spans="25:25" x14ac:dyDescent="0.35">
      <c r="Y237" s="34">
        <v>46626</v>
      </c>
    </row>
    <row r="238" spans="25:25" x14ac:dyDescent="0.35">
      <c r="Y238" s="34">
        <v>46629</v>
      </c>
    </row>
    <row r="239" spans="25:25" x14ac:dyDescent="0.35">
      <c r="Y239" s="34">
        <v>46630</v>
      </c>
    </row>
    <row r="240" spans="25:25" x14ac:dyDescent="0.35">
      <c r="Y240" s="34">
        <v>46631</v>
      </c>
    </row>
    <row r="241" spans="25:25" x14ac:dyDescent="0.35">
      <c r="Y241" s="34">
        <v>46632</v>
      </c>
    </row>
    <row r="242" spans="25:25" x14ac:dyDescent="0.35">
      <c r="Y242" s="34">
        <v>46633</v>
      </c>
    </row>
    <row r="243" spans="25:25" x14ac:dyDescent="0.35">
      <c r="Y243" s="34">
        <v>46636</v>
      </c>
    </row>
    <row r="244" spans="25:25" x14ac:dyDescent="0.35">
      <c r="Y244" s="34">
        <v>46637</v>
      </c>
    </row>
    <row r="245" spans="25:25" x14ac:dyDescent="0.35">
      <c r="Y245" s="34">
        <v>46638</v>
      </c>
    </row>
    <row r="246" spans="25:25" x14ac:dyDescent="0.35">
      <c r="Y246" s="34">
        <v>46639</v>
      </c>
    </row>
    <row r="247" spans="25:25" x14ac:dyDescent="0.35">
      <c r="Y247" s="34">
        <v>46640</v>
      </c>
    </row>
    <row r="248" spans="25:25" x14ac:dyDescent="0.35">
      <c r="Y248" s="34">
        <v>46643</v>
      </c>
    </row>
    <row r="249" spans="25:25" x14ac:dyDescent="0.35">
      <c r="Y249" s="34">
        <v>46644</v>
      </c>
    </row>
    <row r="250" spans="25:25" x14ac:dyDescent="0.35">
      <c r="Y250" s="34">
        <v>46645</v>
      </c>
    </row>
    <row r="251" spans="25:25" x14ac:dyDescent="0.35">
      <c r="Y251" s="34">
        <v>46646</v>
      </c>
    </row>
    <row r="252" spans="25:25" x14ac:dyDescent="0.35">
      <c r="Y252" s="34">
        <v>46647</v>
      </c>
    </row>
    <row r="253" spans="25:25" x14ac:dyDescent="0.35">
      <c r="Y253" s="34">
        <v>46650</v>
      </c>
    </row>
    <row r="254" spans="25:25" x14ac:dyDescent="0.35">
      <c r="Y254" s="34">
        <v>46651</v>
      </c>
    </row>
    <row r="255" spans="25:25" x14ac:dyDescent="0.35">
      <c r="Y255" s="34">
        <v>46652</v>
      </c>
    </row>
    <row r="256" spans="25:25" x14ac:dyDescent="0.35">
      <c r="Y256" s="34">
        <v>46653</v>
      </c>
    </row>
    <row r="257" spans="25:25" x14ac:dyDescent="0.35">
      <c r="Y257" s="34">
        <v>46654</v>
      </c>
    </row>
    <row r="258" spans="25:25" x14ac:dyDescent="0.35">
      <c r="Y258" s="34">
        <v>46657</v>
      </c>
    </row>
    <row r="259" spans="25:25" x14ac:dyDescent="0.35">
      <c r="Y259" s="34">
        <v>46658</v>
      </c>
    </row>
    <row r="260" spans="25:25" x14ac:dyDescent="0.35">
      <c r="Y260" s="34">
        <v>46659</v>
      </c>
    </row>
    <row r="261" spans="25:25" x14ac:dyDescent="0.35">
      <c r="Y261" s="34">
        <v>46660</v>
      </c>
    </row>
    <row r="262" spans="25:25" x14ac:dyDescent="0.35">
      <c r="Y262" s="34">
        <v>46661</v>
      </c>
    </row>
    <row r="263" spans="25:25" x14ac:dyDescent="0.35">
      <c r="Y263" s="34">
        <v>46664</v>
      </c>
    </row>
    <row r="264" spans="25:25" x14ac:dyDescent="0.35">
      <c r="Y264" s="34">
        <v>46665</v>
      </c>
    </row>
    <row r="265" spans="25:25" x14ac:dyDescent="0.35">
      <c r="Y265" s="34">
        <v>46666</v>
      </c>
    </row>
    <row r="266" spans="25:25" x14ac:dyDescent="0.35">
      <c r="Y266" s="34">
        <v>46667</v>
      </c>
    </row>
    <row r="267" spans="25:25" x14ac:dyDescent="0.35">
      <c r="Y267" s="34">
        <v>46668</v>
      </c>
    </row>
    <row r="268" spans="25:25" x14ac:dyDescent="0.35">
      <c r="Y268" s="34">
        <v>46671</v>
      </c>
    </row>
    <row r="269" spans="25:25" x14ac:dyDescent="0.35">
      <c r="Y269" s="34">
        <v>46672</v>
      </c>
    </row>
    <row r="270" spans="25:25" x14ac:dyDescent="0.35">
      <c r="Y270" s="34">
        <v>46673</v>
      </c>
    </row>
    <row r="271" spans="25:25" x14ac:dyDescent="0.35">
      <c r="Y271" s="34">
        <v>46674</v>
      </c>
    </row>
    <row r="272" spans="25:25" x14ac:dyDescent="0.35">
      <c r="Y272" s="34">
        <v>46675</v>
      </c>
    </row>
    <row r="273" spans="25:25" x14ac:dyDescent="0.35">
      <c r="Y273" s="34">
        <v>46678</v>
      </c>
    </row>
    <row r="274" spans="25:25" x14ac:dyDescent="0.35">
      <c r="Y274" s="34">
        <v>46679</v>
      </c>
    </row>
    <row r="275" spans="25:25" x14ac:dyDescent="0.35">
      <c r="Y275" s="34">
        <v>46680</v>
      </c>
    </row>
    <row r="276" spans="25:25" x14ac:dyDescent="0.35">
      <c r="Y276" s="34">
        <v>46681</v>
      </c>
    </row>
    <row r="277" spans="25:25" x14ac:dyDescent="0.35">
      <c r="Y277" s="34">
        <v>46682</v>
      </c>
    </row>
    <row r="278" spans="25:25" x14ac:dyDescent="0.35">
      <c r="Y278" s="34">
        <v>46685</v>
      </c>
    </row>
    <row r="279" spans="25:25" x14ac:dyDescent="0.35">
      <c r="Y279" s="34">
        <v>46686</v>
      </c>
    </row>
    <row r="280" spans="25:25" x14ac:dyDescent="0.35">
      <c r="Y280" s="34">
        <v>46687</v>
      </c>
    </row>
    <row r="281" spans="25:25" x14ac:dyDescent="0.35">
      <c r="Y281" s="34">
        <v>46688</v>
      </c>
    </row>
    <row r="282" spans="25:25" x14ac:dyDescent="0.35">
      <c r="Y282" s="34">
        <v>46689</v>
      </c>
    </row>
    <row r="283" spans="25:25" x14ac:dyDescent="0.35">
      <c r="Y283" s="34">
        <v>46692</v>
      </c>
    </row>
    <row r="284" spans="25:25" x14ac:dyDescent="0.35">
      <c r="Y284" s="34">
        <v>46693</v>
      </c>
    </row>
    <row r="285" spans="25:25" x14ac:dyDescent="0.35">
      <c r="Y285" s="34">
        <v>46694</v>
      </c>
    </row>
    <row r="286" spans="25:25" x14ac:dyDescent="0.35">
      <c r="Y286" s="34">
        <v>46695</v>
      </c>
    </row>
    <row r="287" spans="25:25" x14ac:dyDescent="0.35">
      <c r="Y287" s="34">
        <v>46696</v>
      </c>
    </row>
    <row r="288" spans="25:25" x14ac:dyDescent="0.35">
      <c r="Y288" s="34">
        <v>46699</v>
      </c>
    </row>
    <row r="289" spans="25:25" x14ac:dyDescent="0.35">
      <c r="Y289" s="34">
        <v>46700</v>
      </c>
    </row>
    <row r="290" spans="25:25" x14ac:dyDescent="0.35">
      <c r="Y290" s="34">
        <v>46701</v>
      </c>
    </row>
    <row r="291" spans="25:25" x14ac:dyDescent="0.35">
      <c r="Y291" s="34">
        <v>46702</v>
      </c>
    </row>
    <row r="292" spans="25:25" x14ac:dyDescent="0.35">
      <c r="Y292" s="34">
        <v>46703</v>
      </c>
    </row>
    <row r="293" spans="25:25" x14ac:dyDescent="0.35">
      <c r="Y293" s="34">
        <v>46706</v>
      </c>
    </row>
    <row r="294" spans="25:25" x14ac:dyDescent="0.35">
      <c r="Y294" s="34">
        <v>46707</v>
      </c>
    </row>
    <row r="295" spans="25:25" x14ac:dyDescent="0.35">
      <c r="Y295" s="34">
        <v>46708</v>
      </c>
    </row>
    <row r="296" spans="25:25" x14ac:dyDescent="0.35">
      <c r="Y296" s="34">
        <v>46709</v>
      </c>
    </row>
    <row r="297" spans="25:25" x14ac:dyDescent="0.35">
      <c r="Y297" s="34">
        <v>46710</v>
      </c>
    </row>
    <row r="298" spans="25:25" x14ac:dyDescent="0.35">
      <c r="Y298" s="34">
        <v>46713</v>
      </c>
    </row>
    <row r="299" spans="25:25" x14ac:dyDescent="0.35">
      <c r="Y299" s="34">
        <v>46714</v>
      </c>
    </row>
    <row r="300" spans="25:25" x14ac:dyDescent="0.35">
      <c r="Y300" s="34">
        <v>46715</v>
      </c>
    </row>
    <row r="301" spans="25:25" x14ac:dyDescent="0.35">
      <c r="Y301" s="34">
        <v>46716</v>
      </c>
    </row>
    <row r="302" spans="25:25" x14ac:dyDescent="0.35">
      <c r="Y302" s="34">
        <v>46717</v>
      </c>
    </row>
    <row r="303" spans="25:25" x14ac:dyDescent="0.35">
      <c r="Y303" s="34">
        <v>46720</v>
      </c>
    </row>
    <row r="304" spans="25:25" x14ac:dyDescent="0.35">
      <c r="Y304" s="34">
        <v>46721</v>
      </c>
    </row>
    <row r="305" spans="25:25" x14ac:dyDescent="0.35">
      <c r="Y305" s="34">
        <v>46722</v>
      </c>
    </row>
    <row r="306" spans="25:25" x14ac:dyDescent="0.35">
      <c r="Y306" s="34">
        <v>46723</v>
      </c>
    </row>
    <row r="307" spans="25:25" x14ac:dyDescent="0.35">
      <c r="Y307" s="34">
        <v>46724</v>
      </c>
    </row>
    <row r="308" spans="25:25" x14ac:dyDescent="0.35">
      <c r="Y308" s="34">
        <v>46727</v>
      </c>
    </row>
    <row r="309" spans="25:25" x14ac:dyDescent="0.35">
      <c r="Y309" s="34">
        <v>46728</v>
      </c>
    </row>
    <row r="310" spans="25:25" x14ac:dyDescent="0.35">
      <c r="Y310" s="34">
        <v>46729</v>
      </c>
    </row>
    <row r="311" spans="25:25" x14ac:dyDescent="0.35">
      <c r="Y311" s="34">
        <v>46730</v>
      </c>
    </row>
    <row r="312" spans="25:25" x14ac:dyDescent="0.35">
      <c r="Y312" s="34">
        <v>46731</v>
      </c>
    </row>
    <row r="313" spans="25:25" x14ac:dyDescent="0.35">
      <c r="Y313" s="34">
        <v>46734</v>
      </c>
    </row>
    <row r="314" spans="25:25" x14ac:dyDescent="0.35">
      <c r="Y314" s="34">
        <v>46735</v>
      </c>
    </row>
    <row r="315" spans="25:25" x14ac:dyDescent="0.35">
      <c r="Y315" s="34">
        <v>46736</v>
      </c>
    </row>
    <row r="316" spans="25:25" x14ac:dyDescent="0.35">
      <c r="Y316" s="34">
        <v>46737</v>
      </c>
    </row>
    <row r="317" spans="25:25" x14ac:dyDescent="0.35">
      <c r="Y317" s="34">
        <v>46738</v>
      </c>
    </row>
    <row r="318" spans="25:25" x14ac:dyDescent="0.35">
      <c r="Y318" s="34">
        <v>46741</v>
      </c>
    </row>
    <row r="319" spans="25:25" x14ac:dyDescent="0.35">
      <c r="Y319" s="34">
        <v>46742</v>
      </c>
    </row>
    <row r="320" spans="25:25" x14ac:dyDescent="0.35">
      <c r="Y320" s="34">
        <v>46743</v>
      </c>
    </row>
    <row r="321" spans="25:25" x14ac:dyDescent="0.35">
      <c r="Y321" s="34">
        <v>46744</v>
      </c>
    </row>
    <row r="322" spans="25:25" x14ac:dyDescent="0.35">
      <c r="Y322" s="34">
        <v>46745</v>
      </c>
    </row>
    <row r="323" spans="25:25" x14ac:dyDescent="0.35">
      <c r="Y323" s="34">
        <v>46748</v>
      </c>
    </row>
    <row r="324" spans="25:25" x14ac:dyDescent="0.35">
      <c r="Y324" s="34">
        <v>46749</v>
      </c>
    </row>
    <row r="325" spans="25:25" x14ac:dyDescent="0.35">
      <c r="Y325" s="34">
        <v>46750</v>
      </c>
    </row>
    <row r="326" spans="25:25" x14ac:dyDescent="0.35">
      <c r="Y326" s="34">
        <v>46751</v>
      </c>
    </row>
    <row r="327" spans="25:25" x14ac:dyDescent="0.35">
      <c r="Y327" s="34">
        <v>46752</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Dokument</p:Name>
  <p:Description/>
  <p:Statement/>
  <p:PolicyItems>
    <p:PolicyItem featureId="Microsoft.Office.RecordsManagement.PolicyFeatures.PolicyLabel" staticId="0x0101008C9E48A4EAA9D543B2F3E24AAD76F66B|-2094414987" UniqueId="ceb40dda-5073-469e-8f06-0d9feed4205d">
      <p:Name>Bezeichnungen</p:Name>
      <p:Description>Generiert Bezeichnungen, die in Microsoft Office-Dokumente eingefügt werden können, um sicherzustellen, dass Dokumenteigenschaften oder sonstige wichtige Informationen beim Drucken von Dokumenten enthalten sind. Bezeichnungen können auch für die Suche nach Dokumenten verwendet werden.</p:Description>
      <p:CustomData>
        <label>
          <segment type="literal">Version: </segment>
          <segment type="metadata">_UIVersionString</segment>
        </label>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8C9E48A4EAA9D543B2F3E24AAD76F66B" ma:contentTypeVersion="36" ma:contentTypeDescription="Create a new document." ma:contentTypeScope="" ma:versionID="ac0dac0fa42aa1785305b9c2476007cf">
  <xsd:schema xmlns:xsd="http://www.w3.org/2001/XMLSchema" xmlns:xs="http://www.w3.org/2001/XMLSchema" xmlns:p="http://schemas.microsoft.com/office/2006/metadata/properties" xmlns:ns1="http://schemas.microsoft.com/sharepoint/v3" xmlns:ns2="cd185a31-aa98-4afe-94f1-cbafc4417cc1" xmlns:ns3="9b0625cd-fc09-4dd8-a02a-1c244114c1b6" targetNamespace="http://schemas.microsoft.com/office/2006/metadata/properties" ma:root="true" ma:fieldsID="d7033573e3b3bafa9576b13d14b34653" ns1:_="" ns2:_="" ns3:_="">
    <xsd:import namespace="http://schemas.microsoft.com/sharepoint/v3"/>
    <xsd:import namespace="cd185a31-aa98-4afe-94f1-cbafc4417cc1"/>
    <xsd:import namespace="9b0625cd-fc09-4dd8-a02a-1c244114c1b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Flow_SignoffStatus" minOccurs="0"/>
                <xsd:element ref="ns2:Inhalt" minOccurs="0"/>
                <xsd:element ref="ns2:Datum" minOccurs="0"/>
                <xsd:element ref="ns1:_dlc_Exempt" minOccurs="0"/>
                <xsd:element ref="ns2:DLCPolicyLabelValue" minOccurs="0"/>
                <xsd:element ref="ns2:DLCPolicyLabelClientValue" minOccurs="0"/>
                <xsd:element ref="ns2:DLCPolicyLabelLock" minOccurs="0"/>
                <xsd:element ref="ns2:InModelChangehinzugef_x00fc_gt_x003f_" minOccurs="0"/>
                <xsd:element ref="ns2:Approver" minOccurs="0"/>
                <xsd:element ref="ns2:lcf76f155ced4ddcb4097134ff3c332f" minOccurs="0"/>
                <xsd:element ref="ns3:TaxCatchAll" minOccurs="0"/>
                <xsd:element ref="ns2:MediaServiceDateTaken" minOccurs="0"/>
                <xsd:element ref="ns2:MediaLengthInSeconds" minOccurs="0"/>
                <xsd:element ref="ns2:Owner"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1" nillable="true" ma:displayName="Exempt from Policy" ma:hidden="true" ma:internalName="_dlc_Exempt" ma:readOnly="true">
      <xsd:simpleType>
        <xsd:restriction base="dms:Unknown"/>
      </xsd:simpleType>
    </xsd:element>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185a31-aa98-4afe-94f1-cbafc4417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Inhalt" ma:index="19" nillable="true" ma:displayName="Inhalt" ma:description="Kurze Inhaltsbeschreibung" ma:internalName="Inhalt">
      <xsd:simpleType>
        <xsd:restriction base="dms:Text">
          <xsd:maxLength value="255"/>
        </xsd:restriction>
      </xsd:simpleType>
    </xsd:element>
    <xsd:element name="Datum" ma:index="20" nillable="true" ma:displayName="Datum" ma:default="[today]" ma:description="Referenzdatum eines Dokumentes wenn nötig; z.B. Datum bei einem Decision Request" ma:format="DateTime" ma:internalName="Datum">
      <xsd:simpleType>
        <xsd:restriction base="dms:DateTime"/>
      </xsd:simpleType>
    </xsd:element>
    <xsd:element name="DLCPolicyLabelValue" ma:index="22"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23" nillable="true" ma:displayName="Clientbezeichnungswert" ma:description="Speichert den letzten Bezeichnungswert, der auf dem Client errechnet wurde." ma:hidden="true" ma:internalName="DLCPolicyLabelClientValue" ma:readOnly="false">
      <xsd:simpleType>
        <xsd:restriction base="dms:Note"/>
      </xsd:simpleType>
    </xsd:element>
    <xsd:element name="DLCPolicyLabelLock" ma:index="24" nillable="true" ma:displayName="Bezeichnung gesperrt" ma:description="Gibt an, ob die Bezeichnung zu aktualisieren ist, wenn Elementeigenschaften geändert werden." ma:hidden="true" ma:internalName="DLCPolicyLabelLock" ma:readOnly="false">
      <xsd:simpleType>
        <xsd:restriction base="dms:Text"/>
      </xsd:simpleType>
    </xsd:element>
    <xsd:element name="InModelChangehinzugef_x00fc_gt_x003f_" ma:index="25" nillable="true" ma:displayName="In Model Change hinzugefügt?" ma:format="Dropdown" ma:internalName="InModelChangehinzugef_x00fc_gt_x003f_">
      <xsd:simpleType>
        <xsd:restriction base="dms:Choice">
          <xsd:enumeration value="Ja"/>
          <xsd:enumeration value="Nein"/>
        </xsd:restriction>
      </xsd:simpleType>
    </xsd:element>
    <xsd:element name="Approver" ma:index="26" nillable="true" ma:displayName="Approver" ma:description="How approved the item?" ma:format="Dropdown" ma:list="UserInfo" ma:SharePointGroup="0" ma:internalName="Approv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Owner" ma:index="32" nillable="true" ma:displayName="Owner" ma:description="Beschreibet wer für den Ordner zuständig is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Location" ma:index="37" nillable="true" ma:displayName="Location" ma:description="" ma:indexed="true" ma:internalName="MediaServiceLocation" ma:readOnly="true">
      <xsd:simpleType>
        <xsd:restriction base="dms:Text"/>
      </xsd:simpleType>
    </xsd:element>
    <xsd:element name="_ApprovalAssignedTo" ma:index="38"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9"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40"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41" nillable="true" ma:displayName="Approval status" ma:internalName="_ApprovalStatus" ma:readOnly="true">
      <xsd:simpleType>
        <xsd:restriction base="dms:Unknown"/>
      </xsd:simpleType>
    </xsd:element>
    <xsd:element name="MediaServiceBillingMetadata" ma:index="4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0625cd-fc09-4dd8-a02a-1c244114c1b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cf0a9661-b9a3-4702-90eb-18b1da7957a7}" ma:internalName="TaxCatchAll" ma:showField="CatchAllData" ma:web="9b0625cd-fc09-4dd8-a02a-1c244114c1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LCPolicyLabelClientValue xmlns="cd185a31-aa98-4afe-94f1-cbafc4417cc1">Version: {_UIVersionString}</DLCPolicyLabelClientValue>
    <DLCPolicyLabelLock xmlns="cd185a31-aa98-4afe-94f1-cbafc4417cc1" xsi:nil="true"/>
    <_Flow_SignoffStatus xmlns="cd185a31-aa98-4afe-94f1-cbafc4417cc1" xsi:nil="true"/>
    <InModelChangehinzugef_x00fc_gt_x003f_ xmlns="cd185a31-aa98-4afe-94f1-cbafc4417cc1" xsi:nil="true"/>
    <_ip_UnifiedCompliancePolicyProperties xmlns="http://schemas.microsoft.com/sharepoint/v3" xsi:nil="true"/>
    <Approver xmlns="cd185a31-aa98-4afe-94f1-cbafc4417cc1">
      <UserInfo>
        <DisplayName/>
        <AccountId xsi:nil="true"/>
        <AccountType/>
      </UserInfo>
    </Approver>
    <Inhalt xmlns="cd185a31-aa98-4afe-94f1-cbafc4417cc1" xsi:nil="true"/>
    <Datum xmlns="cd185a31-aa98-4afe-94f1-cbafc4417cc1">2026-09-22T15:06:35+00:00</Datum>
    <lcf76f155ced4ddcb4097134ff3c332f xmlns="cd185a31-aa98-4afe-94f1-cbafc4417cc1">
      <Terms xmlns="http://schemas.microsoft.com/office/infopath/2007/PartnerControls"/>
    </lcf76f155ced4ddcb4097134ff3c332f>
    <Owner xmlns="cd185a31-aa98-4afe-94f1-cbafc4417cc1">
      <UserInfo>
        <DisplayName/>
        <AccountId xsi:nil="true"/>
        <AccountType/>
      </UserInfo>
    </Owner>
    <TaxCatchAll xmlns="9b0625cd-fc09-4dd8-a02a-1c244114c1b6" xsi:nil="true"/>
    <_ApprovalAssignedTo xmlns="cd185a31-aa98-4afe-94f1-cbafc4417cc1">
      <UserInfo>
        <DisplayName/>
        <AccountId xsi:nil="true"/>
        <AccountType/>
      </UserInfo>
    </_ApprovalAssignedTo>
    <_ApprovalStatus xmlns="cd185a31-aa98-4afe-94f1-cbafc4417cc1">0</_ApprovalStatus>
    <_ApprovalRespondedBy xmlns="cd185a31-aa98-4afe-94f1-cbafc4417cc1">
      <UserInfo>
        <DisplayName/>
        <AccountId xsi:nil="true"/>
        <AccountType/>
      </UserInfo>
    </_ApprovalRespondedBy>
    <DLCPolicyLabelValue xmlns="cd185a31-aa98-4afe-94f1-cbafc4417cc1">Version: 3.0</DLCPolicyLabelValue>
    <_ApprovalSentBy xmlns="cd185a31-aa98-4afe-94f1-cbafc4417cc1">
      <UserInfo>
        <DisplayName/>
        <AccountId xsi:nil="true"/>
        <AccountType/>
      </UserInfo>
    </_ApprovalSentBy>
  </documentManagement>
</p:properties>
</file>

<file path=customXml/itemProps1.xml><?xml version="1.0" encoding="utf-8"?>
<ds:datastoreItem xmlns:ds="http://schemas.openxmlformats.org/officeDocument/2006/customXml" ds:itemID="{8892A4F6-BE95-4F57-A8B0-4EAA5E807C32}">
  <ds:schemaRefs>
    <ds:schemaRef ds:uri="http://schemas.microsoft.com/sharepoint/v3/contenttype/forms"/>
  </ds:schemaRefs>
</ds:datastoreItem>
</file>

<file path=customXml/itemProps2.xml><?xml version="1.0" encoding="utf-8"?>
<ds:datastoreItem xmlns:ds="http://schemas.openxmlformats.org/officeDocument/2006/customXml" ds:itemID="{2DC5FC13-DC54-4BA6-9DFB-8D54A4459A2F}">
  <ds:schemaRefs>
    <ds:schemaRef ds:uri="office.server.policy"/>
  </ds:schemaRefs>
</ds:datastoreItem>
</file>

<file path=customXml/itemProps3.xml><?xml version="1.0" encoding="utf-8"?>
<ds:datastoreItem xmlns:ds="http://schemas.openxmlformats.org/officeDocument/2006/customXml" ds:itemID="{E1002A32-120F-42DD-B3FD-FEBC71017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185a31-aa98-4afe-94f1-cbafc4417cc1"/>
    <ds:schemaRef ds:uri="9b0625cd-fc09-4dd8-a02a-1c244114c1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A4F7E26-5526-45E5-97DC-71119AD13BF6}">
  <ds:schemaRefs>
    <ds:schemaRef ds:uri="cd185a31-aa98-4afe-94f1-cbafc4417cc1"/>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9b0625cd-fc09-4dd8-a02a-1c244114c1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Overview &amp; Instructions</vt:lpstr>
      <vt:lpstr>CERM Calculator</vt:lpstr>
      <vt:lpstr>Contracts &amp; Master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Kathrin Kohoutek</cp:lastModifiedBy>
  <cp:revision/>
  <dcterms:created xsi:type="dcterms:W3CDTF">2026-09-22T09:13:42Z</dcterms:created>
  <dcterms:modified xsi:type="dcterms:W3CDTF">2026-10-05T09:33:42Z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c17b74-b5f6-430d-82e3-3dabdd474fec_Enabled">
    <vt:lpwstr>true</vt:lpwstr>
  </property>
  <property fmtid="{D5CDD505-2E9C-101B-9397-08002B2CF9AE}" pid="3" name="MSIP_Label_4dc17b74-b5f6-430d-82e3-3dabdd474fec_SetDate">
    <vt:lpwstr>2026-09-22T09:15:26Z</vt:lpwstr>
  </property>
  <property fmtid="{D5CDD505-2E9C-101B-9397-08002B2CF9AE}" pid="4" name="MSIP_Label_4dc17b74-b5f6-430d-82e3-3dabdd474fec_Method">
    <vt:lpwstr>Privileged</vt:lpwstr>
  </property>
  <property fmtid="{D5CDD505-2E9C-101B-9397-08002B2CF9AE}" pid="5" name="MSIP_Label_4dc17b74-b5f6-430d-82e3-3dabdd474fec_Name">
    <vt:lpwstr>Public – FAX – No Marking</vt:lpwstr>
  </property>
  <property fmtid="{D5CDD505-2E9C-101B-9397-08002B2CF9AE}" pid="6" name="MSIP_Label_4dc17b74-b5f6-430d-82e3-3dabdd474fec_SiteId">
    <vt:lpwstr>e00ddcdf-1e0f-4be5-a37a-894a4731986a</vt:lpwstr>
  </property>
  <property fmtid="{D5CDD505-2E9C-101B-9397-08002B2CF9AE}" pid="7" name="MSIP_Label_4dc17b74-b5f6-430d-82e3-3dabdd474fec_ActionId">
    <vt:lpwstr>2a4f1c1e-700f-4da7-9174-5931cc87a0b3</vt:lpwstr>
  </property>
  <property fmtid="{D5CDD505-2E9C-101B-9397-08002B2CF9AE}" pid="8" name="MSIP_Label_4dc17b74-b5f6-430d-82e3-3dabdd474fec_ContentBits">
    <vt:lpwstr>0</vt:lpwstr>
  </property>
  <property fmtid="{D5CDD505-2E9C-101B-9397-08002B2CF9AE}" pid="9" name="MSIP_Label_4dc17b74-b5f6-430d-82e3-3dabdd474fec_Tag">
    <vt:lpwstr>10, 0, 1, 1</vt:lpwstr>
  </property>
  <property fmtid="{D5CDD505-2E9C-101B-9397-08002B2CF9AE}" pid="10" name="ContentTypeId">
    <vt:lpwstr>0x0101008C9E48A4EAA9D543B2F3E24AAD76F66B</vt:lpwstr>
  </property>
  <property fmtid="{D5CDD505-2E9C-101B-9397-08002B2CF9AE}" pid="11" name="MediaServiceImageTags">
    <vt:lpwstr/>
  </property>
</Properties>
</file>